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hared\0. File Share\Hays Travel Group\Rates &amp; Rating notes\2022-26\Workings\"/>
    </mc:Choice>
  </mc:AlternateContent>
  <xr:revisionPtr revIDLastSave="0" documentId="13_ncr:1_{B64D192B-C3AC-4F6D-BF40-C6A3E7A4E0FB}" xr6:coauthVersionLast="47" xr6:coauthVersionMax="47" xr10:uidLastSave="{00000000-0000-0000-0000-000000000000}"/>
  <bookViews>
    <workbookView xWindow="-120" yWindow="-120" windowWidth="29040" windowHeight="15720" tabRatio="878" firstSheet="5" activeTab="5" xr2:uid="{00000000-000D-0000-FFFF-FFFF00000000}"/>
  </bookViews>
  <sheets>
    <sheet name="Front Sheet" sheetId="39" r:id="rId1"/>
    <sheet name="ST Standard from 4 Jun26" sheetId="43" r:id="rId2"/>
    <sheet name="ST Standard from 24 Feb 26" sheetId="37" r:id="rId3"/>
    <sheet name="ST Standard (by Age) 4 Jun 26" sheetId="50" r:id="rId4"/>
    <sheet name="ST Standard (by Age) 24 Feb 26" sheetId="34" r:id="rId5"/>
    <sheet name="ST Inc Cruise from 4 Jun26" sheetId="44" r:id="rId6"/>
    <sheet name="ST Inc Cruise from 24 Feb 26" sheetId="36" r:id="rId7"/>
    <sheet name="ST Inc Cruise from 1 Apr25" sheetId="28" state="hidden" r:id="rId8"/>
    <sheet name="Single Trip Inc Cruise re Jan25" sheetId="23" state="hidden" r:id="rId9"/>
    <sheet name="Single Trip Incl Cruise" sheetId="20" state="hidden" r:id="rId10"/>
    <sheet name="ST Standard from 1 Apr25" sheetId="27" state="hidden" r:id="rId11"/>
    <sheet name="ST (by Age) Inc Cruise 4 Jun26" sheetId="51" r:id="rId12"/>
    <sheet name="ST (by Age) Inc Cruise 24 Feb26" sheetId="35" r:id="rId13"/>
    <sheet name="ST Tables (by Age) Inc Cruise" sheetId="22" state="hidden" r:id="rId14"/>
    <sheet name="Single Trip Standard re 4Jan24" sheetId="26" state="hidden" r:id="rId15"/>
    <sheet name="Single Trip Standard re Jan25" sheetId="13" state="hidden" r:id="rId16"/>
    <sheet name="ST Rating Tables (by Age)" sheetId="9" state="hidden" r:id="rId17"/>
    <sheet name="AMT Gold Standard from 4 Jun26" sheetId="45" r:id="rId18"/>
    <sheet name="AMT Gold Standard from 24 Feb26" sheetId="38" r:id="rId19"/>
    <sheet name="AMT Standard from 1 Apr25" sheetId="29" state="hidden" r:id="rId20"/>
    <sheet name="AMT Inc Cruise re Jan25" sheetId="25" state="hidden" r:id="rId21"/>
    <sheet name="AMT Standard re Jan25" sheetId="24" state="hidden" r:id="rId22"/>
    <sheet name="AMT Gold Inc Cruise 4 Jun26" sheetId="46" r:id="rId23"/>
    <sheet name="AMT Gold Inc Cruise - 24 Feb26" sheetId="40" r:id="rId24"/>
    <sheet name="AMT Inc Cruise from 1 Apr25" sheetId="30" state="hidden" r:id="rId25"/>
    <sheet name="AMT Silver St'd from 4 Jun26" sheetId="47" r:id="rId26"/>
    <sheet name="AMT Silver Standard re 24Feb26" sheetId="41" r:id="rId27"/>
    <sheet name="AMT Silver Inc Cruise 4 Jun26" sheetId="49" r:id="rId28"/>
    <sheet name="AMT Silver Inc Cruise 24Feb26" sheetId="42" r:id="rId29"/>
    <sheet name="AMT Silver Standard re 1 Apr25" sheetId="31" state="hidden" r:id="rId30"/>
    <sheet name="AMT Silver Inc Cruise 1 Apr25+" sheetId="33" state="hidden" r:id="rId31"/>
    <sheet name="ST Price Var %" sheetId="32" state="hidden" r:id="rId32"/>
    <sheet name="AMT Inc Cruise" sheetId="21" state="hidden" r:id="rId33"/>
    <sheet name="AMT Standard" sheetId="18" state="hidden" r:id="rId34"/>
    <sheet name="Sheet1" sheetId="19" state="hidden" r:id="rId3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" i="51" l="1"/>
  <c r="U36" i="51" s="1"/>
  <c r="T12" i="51"/>
  <c r="T36" i="51" s="1"/>
  <c r="S12" i="51"/>
  <c r="P12" i="51"/>
  <c r="O12" i="51"/>
  <c r="N12" i="51"/>
  <c r="K12" i="51"/>
  <c r="J12" i="51"/>
  <c r="J28" i="51" s="1"/>
  <c r="I12" i="51"/>
  <c r="I28" i="51" s="1"/>
  <c r="F12" i="51"/>
  <c r="Z12" i="51" s="1"/>
  <c r="Z28" i="51" s="1"/>
  <c r="E12" i="51"/>
  <c r="E28" i="51" s="1"/>
  <c r="D12" i="51"/>
  <c r="U11" i="51"/>
  <c r="T11" i="51"/>
  <c r="S11" i="51"/>
  <c r="R11" i="51"/>
  <c r="P11" i="51"/>
  <c r="O11" i="51"/>
  <c r="N11" i="51"/>
  <c r="M11" i="51"/>
  <c r="K11" i="51"/>
  <c r="K19" i="51" s="1"/>
  <c r="J11" i="51"/>
  <c r="J19" i="51" s="1"/>
  <c r="I11" i="51"/>
  <c r="H11" i="51"/>
  <c r="F11" i="51"/>
  <c r="AJ11" i="51" s="1"/>
  <c r="E11" i="51"/>
  <c r="AI11" i="51" s="1"/>
  <c r="D11" i="51"/>
  <c r="C11" i="51"/>
  <c r="U10" i="51"/>
  <c r="T10" i="51"/>
  <c r="S10" i="51"/>
  <c r="R10" i="51"/>
  <c r="P10" i="51"/>
  <c r="O10" i="51"/>
  <c r="O26" i="51" s="1"/>
  <c r="N10" i="51"/>
  <c r="N26" i="51" s="1"/>
  <c r="M10" i="51"/>
  <c r="M26" i="51" s="1"/>
  <c r="K10" i="51"/>
  <c r="J10" i="51"/>
  <c r="J26" i="51" s="1"/>
  <c r="I10" i="51"/>
  <c r="I34" i="51" s="1"/>
  <c r="H10" i="51"/>
  <c r="F10" i="51"/>
  <c r="E10" i="51"/>
  <c r="D10" i="51"/>
  <c r="C10" i="51"/>
  <c r="U9" i="51"/>
  <c r="U17" i="51" s="1"/>
  <c r="T9" i="51"/>
  <c r="T41" i="51" s="1"/>
  <c r="S9" i="51"/>
  <c r="S41" i="51" s="1"/>
  <c r="R9" i="51"/>
  <c r="R33" i="51" s="1"/>
  <c r="P9" i="51"/>
  <c r="P25" i="51" s="1"/>
  <c r="O9" i="51"/>
  <c r="N9" i="51"/>
  <c r="M9" i="51"/>
  <c r="K9" i="51"/>
  <c r="J9" i="51"/>
  <c r="I9" i="51"/>
  <c r="H9" i="51"/>
  <c r="F9" i="51"/>
  <c r="F17" i="51" s="1"/>
  <c r="E9" i="51"/>
  <c r="E33" i="51" s="1"/>
  <c r="D9" i="51"/>
  <c r="X9" i="51" s="1"/>
  <c r="C9" i="51"/>
  <c r="W9" i="51" s="1"/>
  <c r="U8" i="51"/>
  <c r="U32" i="51" s="1"/>
  <c r="T8" i="51"/>
  <c r="T48" i="51" s="1"/>
  <c r="S8" i="51"/>
  <c r="S48" i="51" s="1"/>
  <c r="R8" i="51"/>
  <c r="P8" i="51"/>
  <c r="O8" i="51"/>
  <c r="N8" i="51"/>
  <c r="M8" i="51"/>
  <c r="M48" i="51" s="1"/>
  <c r="K8" i="51"/>
  <c r="K24" i="51" s="1"/>
  <c r="J8" i="51"/>
  <c r="J24" i="51" s="1"/>
  <c r="I8" i="51"/>
  <c r="H8" i="51"/>
  <c r="AL8" i="51" s="1"/>
  <c r="F8" i="51"/>
  <c r="AJ8" i="51" s="1"/>
  <c r="AJ24" i="51" s="1"/>
  <c r="E8" i="51"/>
  <c r="AI8" i="51" s="1"/>
  <c r="AI24" i="51" s="1"/>
  <c r="D8" i="51"/>
  <c r="C8" i="51"/>
  <c r="U7" i="51"/>
  <c r="T7" i="51"/>
  <c r="T15" i="51" s="1"/>
  <c r="S7" i="51"/>
  <c r="R7" i="51"/>
  <c r="P7" i="51"/>
  <c r="P23" i="51" s="1"/>
  <c r="O7" i="51"/>
  <c r="O23" i="51" s="1"/>
  <c r="N7" i="51"/>
  <c r="N15" i="51" s="1"/>
  <c r="M7" i="51"/>
  <c r="K7" i="51"/>
  <c r="K15" i="51" s="1"/>
  <c r="J7" i="51"/>
  <c r="J31" i="51" s="1"/>
  <c r="I7" i="51"/>
  <c r="I47" i="51" s="1"/>
  <c r="AM47" i="51" s="1"/>
  <c r="H7" i="51"/>
  <c r="F7" i="51"/>
  <c r="E7" i="51"/>
  <c r="E31" i="51" s="1"/>
  <c r="D7" i="51"/>
  <c r="AR8" i="51" s="1"/>
  <c r="C7" i="51"/>
  <c r="AG52" i="51"/>
  <c r="T49" i="51"/>
  <c r="S49" i="51"/>
  <c r="R49" i="51"/>
  <c r="J49" i="51"/>
  <c r="AN49" i="51" s="1"/>
  <c r="AD48" i="51"/>
  <c r="T47" i="51"/>
  <c r="S47" i="51"/>
  <c r="AG44" i="51"/>
  <c r="W44" i="51"/>
  <c r="M44" i="51"/>
  <c r="C44" i="51"/>
  <c r="R41" i="51"/>
  <c r="C41" i="51"/>
  <c r="AG41" i="51" s="1"/>
  <c r="R40" i="51"/>
  <c r="H40" i="51"/>
  <c r="AL40" i="51" s="1"/>
  <c r="T39" i="51"/>
  <c r="S39" i="51"/>
  <c r="E39" i="51"/>
  <c r="AI39" i="51" s="1"/>
  <c r="D39" i="51"/>
  <c r="AH39" i="51" s="1"/>
  <c r="AB36" i="51"/>
  <c r="W36" i="51"/>
  <c r="R36" i="51"/>
  <c r="N36" i="51"/>
  <c r="M36" i="51"/>
  <c r="K36" i="51"/>
  <c r="I36" i="51"/>
  <c r="H36" i="51"/>
  <c r="C36" i="51"/>
  <c r="AE35" i="51"/>
  <c r="R35" i="51"/>
  <c r="C35" i="51"/>
  <c r="M34" i="51"/>
  <c r="U33" i="51"/>
  <c r="H33" i="51"/>
  <c r="F33" i="51"/>
  <c r="R32" i="51"/>
  <c r="H32" i="51"/>
  <c r="T31" i="51"/>
  <c r="S31" i="51"/>
  <c r="K31" i="51"/>
  <c r="AB28" i="51"/>
  <c r="W28" i="51"/>
  <c r="U28" i="51"/>
  <c r="R28" i="51"/>
  <c r="M28" i="51"/>
  <c r="K28" i="51"/>
  <c r="H28" i="51"/>
  <c r="D28" i="51"/>
  <c r="C28" i="51"/>
  <c r="P27" i="51"/>
  <c r="O27" i="51"/>
  <c r="N27" i="51"/>
  <c r="M27" i="51"/>
  <c r="Z26" i="51"/>
  <c r="H26" i="51"/>
  <c r="U25" i="51"/>
  <c r="S25" i="51"/>
  <c r="R25" i="51"/>
  <c r="K25" i="51"/>
  <c r="M24" i="51"/>
  <c r="F24" i="51"/>
  <c r="AC23" i="51"/>
  <c r="I23" i="51"/>
  <c r="AB20" i="51"/>
  <c r="W20" i="51"/>
  <c r="W52" i="51" s="1"/>
  <c r="R20" i="51"/>
  <c r="M20" i="51"/>
  <c r="M52" i="51" s="1"/>
  <c r="H20" i="51"/>
  <c r="D20" i="51"/>
  <c r="C20" i="51"/>
  <c r="C52" i="51" s="1"/>
  <c r="N19" i="51"/>
  <c r="M19" i="51"/>
  <c r="C19" i="51"/>
  <c r="Z18" i="51"/>
  <c r="U18" i="51"/>
  <c r="T18" i="51"/>
  <c r="N18" i="51"/>
  <c r="M18" i="51"/>
  <c r="I18" i="51"/>
  <c r="H18" i="51"/>
  <c r="F18" i="51"/>
  <c r="R17" i="51"/>
  <c r="P17" i="51"/>
  <c r="I17" i="51"/>
  <c r="D17" i="51"/>
  <c r="C17" i="51"/>
  <c r="R16" i="51"/>
  <c r="P16" i="51"/>
  <c r="O16" i="51"/>
  <c r="D16" i="51"/>
  <c r="Z15" i="51"/>
  <c r="U15" i="51"/>
  <c r="I15" i="51"/>
  <c r="H15" i="51"/>
  <c r="F15" i="51"/>
  <c r="E15" i="51"/>
  <c r="AI12" i="51"/>
  <c r="AI36" i="51" s="1"/>
  <c r="AH12" i="51"/>
  <c r="AH36" i="51" s="1"/>
  <c r="AE12" i="51"/>
  <c r="Y12" i="51"/>
  <c r="D36" i="51"/>
  <c r="AE11" i="51"/>
  <c r="AE27" i="51" s="1"/>
  <c r="W11" i="51"/>
  <c r="W35" i="51" s="1"/>
  <c r="N35" i="51"/>
  <c r="M35" i="51"/>
  <c r="AH11" i="51"/>
  <c r="AC10" i="51"/>
  <c r="AC18" i="51" s="1"/>
  <c r="AB10" i="51"/>
  <c r="Z10" i="51"/>
  <c r="Z34" i="51" s="1"/>
  <c r="U26" i="51"/>
  <c r="T26" i="51"/>
  <c r="R34" i="51"/>
  <c r="H34" i="51"/>
  <c r="F26" i="51"/>
  <c r="AH10" i="51"/>
  <c r="AJ9" i="51"/>
  <c r="AJ25" i="51" s="1"/>
  <c r="AI9" i="51"/>
  <c r="AI17" i="51" s="1"/>
  <c r="AD9" i="51"/>
  <c r="AC9" i="51"/>
  <c r="Z9" i="51"/>
  <c r="Z17" i="51" s="1"/>
  <c r="Y9" i="51"/>
  <c r="Y25" i="51" s="1"/>
  <c r="D33" i="51"/>
  <c r="C33" i="51"/>
  <c r="AY8" i="51"/>
  <c r="AW8" i="51"/>
  <c r="AH8" i="51"/>
  <c r="AG8" i="51"/>
  <c r="AG16" i="51" s="1"/>
  <c r="AE8" i="51"/>
  <c r="AD8" i="51"/>
  <c r="AD16" i="51" s="1"/>
  <c r="P32" i="51"/>
  <c r="M40" i="51"/>
  <c r="AY7" i="51"/>
  <c r="AW7" i="51"/>
  <c r="AM7" i="51"/>
  <c r="AM15" i="51" s="1"/>
  <c r="AL7" i="51"/>
  <c r="AE7" i="51"/>
  <c r="AE15" i="51" s="1"/>
  <c r="AC7" i="51"/>
  <c r="AC47" i="51" s="1"/>
  <c r="AB7" i="51"/>
  <c r="AB39" i="51" s="1"/>
  <c r="Z7" i="51"/>
  <c r="Z31" i="51" s="1"/>
  <c r="U23" i="51"/>
  <c r="T23" i="51"/>
  <c r="S15" i="51"/>
  <c r="M15" i="51"/>
  <c r="K23" i="51"/>
  <c r="F23" i="51"/>
  <c r="E47" i="51"/>
  <c r="AI47" i="51" s="1"/>
  <c r="D15" i="51"/>
  <c r="B3" i="51"/>
  <c r="B5" i="51" s="1"/>
  <c r="U12" i="50"/>
  <c r="T12" i="50"/>
  <c r="T36" i="50" s="1"/>
  <c r="S12" i="50"/>
  <c r="P12" i="50"/>
  <c r="O12" i="50"/>
  <c r="N12" i="50"/>
  <c r="N36" i="50" s="1"/>
  <c r="K12" i="50"/>
  <c r="AE12" i="50" s="1"/>
  <c r="AE28" i="50" s="1"/>
  <c r="J12" i="50"/>
  <c r="J36" i="50" s="1"/>
  <c r="I12" i="50"/>
  <c r="AC12" i="50" s="1"/>
  <c r="AC28" i="50" s="1"/>
  <c r="F12" i="50"/>
  <c r="F28" i="50" s="1"/>
  <c r="E12" i="50"/>
  <c r="E20" i="50" s="1"/>
  <c r="D12" i="50"/>
  <c r="D20" i="50" s="1"/>
  <c r="U11" i="50"/>
  <c r="T11" i="50"/>
  <c r="S11" i="50"/>
  <c r="S35" i="50" s="1"/>
  <c r="R11" i="50"/>
  <c r="P11" i="50"/>
  <c r="O11" i="50"/>
  <c r="N11" i="50"/>
  <c r="M11" i="50"/>
  <c r="K11" i="50"/>
  <c r="K27" i="50" s="1"/>
  <c r="J11" i="50"/>
  <c r="J19" i="50" s="1"/>
  <c r="I11" i="50"/>
  <c r="I35" i="50" s="1"/>
  <c r="H11" i="50"/>
  <c r="H35" i="50" s="1"/>
  <c r="F11" i="50"/>
  <c r="E11" i="50"/>
  <c r="E35" i="50" s="1"/>
  <c r="D11" i="50"/>
  <c r="D35" i="50" s="1"/>
  <c r="C11" i="50"/>
  <c r="U10" i="50"/>
  <c r="T10" i="50"/>
  <c r="S10" i="50"/>
  <c r="R10" i="50"/>
  <c r="P10" i="50"/>
  <c r="O10" i="50"/>
  <c r="N10" i="50"/>
  <c r="N18" i="50" s="1"/>
  <c r="M10" i="50"/>
  <c r="M26" i="50" s="1"/>
  <c r="K10" i="50"/>
  <c r="AE10" i="50" s="1"/>
  <c r="AE26" i="50" s="1"/>
  <c r="J10" i="50"/>
  <c r="I10" i="50"/>
  <c r="H10" i="50"/>
  <c r="F10" i="50"/>
  <c r="E10" i="50"/>
  <c r="E18" i="50" s="1"/>
  <c r="D10" i="50"/>
  <c r="D18" i="50" s="1"/>
  <c r="C10" i="50"/>
  <c r="U9" i="50"/>
  <c r="U33" i="50" s="1"/>
  <c r="T9" i="50"/>
  <c r="S9" i="50"/>
  <c r="S33" i="50" s="1"/>
  <c r="R9" i="50"/>
  <c r="R17" i="50" s="1"/>
  <c r="P9" i="50"/>
  <c r="O9" i="50"/>
  <c r="N9" i="50"/>
  <c r="M9" i="50"/>
  <c r="K9" i="50"/>
  <c r="J9" i="50"/>
  <c r="J33" i="50" s="1"/>
  <c r="I9" i="50"/>
  <c r="H9" i="50"/>
  <c r="H25" i="50" s="1"/>
  <c r="F9" i="50"/>
  <c r="F33" i="50" s="1"/>
  <c r="E9" i="50"/>
  <c r="E17" i="50" s="1"/>
  <c r="D9" i="50"/>
  <c r="X9" i="50" s="1"/>
  <c r="C9" i="50"/>
  <c r="C33" i="50" s="1"/>
  <c r="U8" i="50"/>
  <c r="T8" i="50"/>
  <c r="S8" i="50"/>
  <c r="S32" i="50" s="1"/>
  <c r="R8" i="50"/>
  <c r="P8" i="50"/>
  <c r="O8" i="50"/>
  <c r="O48" i="50" s="1"/>
  <c r="N8" i="50"/>
  <c r="N16" i="50" s="1"/>
  <c r="M8" i="50"/>
  <c r="K8" i="50"/>
  <c r="K24" i="50" s="1"/>
  <c r="J8" i="50"/>
  <c r="I8" i="50"/>
  <c r="I24" i="50" s="1"/>
  <c r="H8" i="50"/>
  <c r="H40" i="50" s="1"/>
  <c r="AL40" i="50" s="1"/>
  <c r="F8" i="50"/>
  <c r="E8" i="50"/>
  <c r="AI8" i="50" s="1"/>
  <c r="D8" i="50"/>
  <c r="D24" i="50" s="1"/>
  <c r="C8" i="50"/>
  <c r="U7" i="50"/>
  <c r="T7" i="50"/>
  <c r="T23" i="50" s="1"/>
  <c r="S7" i="50"/>
  <c r="R7" i="50"/>
  <c r="P7" i="50"/>
  <c r="P15" i="50" s="1"/>
  <c r="O7" i="50"/>
  <c r="O31" i="50" s="1"/>
  <c r="N7" i="50"/>
  <c r="N39" i="50" s="1"/>
  <c r="M7" i="50"/>
  <c r="M23" i="50" s="1"/>
  <c r="K7" i="50"/>
  <c r="J7" i="50"/>
  <c r="I7" i="50"/>
  <c r="I39" i="50" s="1"/>
  <c r="AM39" i="50" s="1"/>
  <c r="H7" i="50"/>
  <c r="F7" i="50"/>
  <c r="E7" i="50"/>
  <c r="D7" i="50"/>
  <c r="C7" i="50"/>
  <c r="AG52" i="50"/>
  <c r="O49" i="50"/>
  <c r="M48" i="50"/>
  <c r="AG44" i="50"/>
  <c r="W44" i="50"/>
  <c r="M44" i="50"/>
  <c r="C44" i="50"/>
  <c r="S41" i="50"/>
  <c r="C41" i="50"/>
  <c r="AG41" i="50" s="1"/>
  <c r="N40" i="50"/>
  <c r="S39" i="50"/>
  <c r="E39" i="50"/>
  <c r="AI39" i="50" s="1"/>
  <c r="AO36" i="50"/>
  <c r="AB36" i="50"/>
  <c r="W36" i="50"/>
  <c r="R36" i="50"/>
  <c r="M36" i="50"/>
  <c r="K36" i="50"/>
  <c r="H36" i="50"/>
  <c r="C36" i="50"/>
  <c r="AM35" i="50"/>
  <c r="C35" i="50"/>
  <c r="S34" i="50"/>
  <c r="R34" i="50"/>
  <c r="P34" i="50"/>
  <c r="D34" i="50"/>
  <c r="M33" i="50"/>
  <c r="Z32" i="50"/>
  <c r="U32" i="50"/>
  <c r="N32" i="50"/>
  <c r="K32" i="50"/>
  <c r="I32" i="50"/>
  <c r="H32" i="50"/>
  <c r="F32" i="50"/>
  <c r="U31" i="50"/>
  <c r="P31" i="50"/>
  <c r="F31" i="50"/>
  <c r="D31" i="50"/>
  <c r="AB28" i="50"/>
  <c r="W28" i="50"/>
  <c r="T28" i="50"/>
  <c r="R28" i="50"/>
  <c r="N28" i="50"/>
  <c r="M28" i="50"/>
  <c r="H28" i="50"/>
  <c r="C28" i="50"/>
  <c r="T27" i="50"/>
  <c r="S27" i="50"/>
  <c r="R27" i="50"/>
  <c r="P27" i="50"/>
  <c r="O27" i="50"/>
  <c r="M27" i="50"/>
  <c r="C27" i="50"/>
  <c r="AB26" i="50"/>
  <c r="U26" i="50"/>
  <c r="S26" i="50"/>
  <c r="N26" i="50"/>
  <c r="K26" i="50"/>
  <c r="H26" i="50"/>
  <c r="U25" i="50"/>
  <c r="K25" i="50"/>
  <c r="AJ24" i="50"/>
  <c r="Z24" i="50"/>
  <c r="U24" i="50"/>
  <c r="R24" i="50"/>
  <c r="P24" i="50"/>
  <c r="C24" i="50"/>
  <c r="U23" i="50"/>
  <c r="P23" i="50"/>
  <c r="K23" i="50"/>
  <c r="J23" i="50"/>
  <c r="AB20" i="50"/>
  <c r="W20" i="50"/>
  <c r="W52" i="50" s="1"/>
  <c r="U20" i="50"/>
  <c r="T20" i="50"/>
  <c r="R20" i="50"/>
  <c r="N20" i="50"/>
  <c r="M20" i="50"/>
  <c r="M52" i="50" s="1"/>
  <c r="I20" i="50"/>
  <c r="H20" i="50"/>
  <c r="F20" i="50"/>
  <c r="C20" i="50"/>
  <c r="C52" i="50" s="1"/>
  <c r="P19" i="50"/>
  <c r="O19" i="50"/>
  <c r="N19" i="50"/>
  <c r="M19" i="50"/>
  <c r="D19" i="50"/>
  <c r="T18" i="50"/>
  <c r="K18" i="50"/>
  <c r="H18" i="50"/>
  <c r="U17" i="50"/>
  <c r="T17" i="50"/>
  <c r="O17" i="50"/>
  <c r="K17" i="50"/>
  <c r="U16" i="50"/>
  <c r="O16" i="50"/>
  <c r="M16" i="50"/>
  <c r="F16" i="50"/>
  <c r="E15" i="50"/>
  <c r="AO12" i="50"/>
  <c r="AO20" i="50" s="1"/>
  <c r="AM12" i="50"/>
  <c r="AM20" i="50" s="1"/>
  <c r="AI12" i="50"/>
  <c r="AI28" i="50" s="1"/>
  <c r="AH12" i="50"/>
  <c r="U36" i="50"/>
  <c r="AO11" i="50"/>
  <c r="AM11" i="50"/>
  <c r="AM19" i="50" s="1"/>
  <c r="AL11" i="50"/>
  <c r="AJ11" i="50"/>
  <c r="AI11" i="50"/>
  <c r="AD11" i="50"/>
  <c r="U35" i="50"/>
  <c r="R19" i="50"/>
  <c r="P35" i="50"/>
  <c r="O35" i="50"/>
  <c r="N27" i="50"/>
  <c r="M35" i="50"/>
  <c r="J27" i="50"/>
  <c r="F27" i="50"/>
  <c r="AN10" i="50"/>
  <c r="AN34" i="50" s="1"/>
  <c r="AH10" i="50"/>
  <c r="AG10" i="50"/>
  <c r="AB10" i="50"/>
  <c r="Y10" i="50"/>
  <c r="X10" i="50"/>
  <c r="T26" i="50"/>
  <c r="S18" i="50"/>
  <c r="P18" i="50"/>
  <c r="O18" i="50"/>
  <c r="N34" i="50"/>
  <c r="K34" i="50"/>
  <c r="J26" i="50"/>
  <c r="H34" i="50"/>
  <c r="F34" i="50"/>
  <c r="E26" i="50"/>
  <c r="D26" i="50"/>
  <c r="C34" i="50"/>
  <c r="AO9" i="50"/>
  <c r="AO17" i="50" s="1"/>
  <c r="AN9" i="50"/>
  <c r="AM9" i="50"/>
  <c r="AM33" i="50" s="1"/>
  <c r="AH9" i="50"/>
  <c r="AH25" i="50" s="1"/>
  <c r="AE9" i="50"/>
  <c r="AC9" i="50"/>
  <c r="Z9" i="50"/>
  <c r="Z33" i="50" s="1"/>
  <c r="P17" i="50"/>
  <c r="O25" i="50"/>
  <c r="N41" i="50"/>
  <c r="K33" i="50"/>
  <c r="I17" i="50"/>
  <c r="AY8" i="50"/>
  <c r="AW8" i="50"/>
  <c r="AJ8" i="50"/>
  <c r="AG8" i="50"/>
  <c r="AG32" i="50" s="1"/>
  <c r="AE8" i="50"/>
  <c r="AE32" i="50" s="1"/>
  <c r="X8" i="50"/>
  <c r="X24" i="50" s="1"/>
  <c r="T32" i="50"/>
  <c r="O40" i="50"/>
  <c r="N24" i="50"/>
  <c r="Z8" i="50"/>
  <c r="Z16" i="50" s="1"/>
  <c r="AY7" i="50"/>
  <c r="AW7" i="50"/>
  <c r="AO7" i="50"/>
  <c r="AO31" i="50" s="1"/>
  <c r="AN7" i="50"/>
  <c r="AN15" i="50" s="1"/>
  <c r="AD7" i="50"/>
  <c r="AD23" i="50" s="1"/>
  <c r="AC7" i="50"/>
  <c r="AC23" i="50" s="1"/>
  <c r="Y7" i="50"/>
  <c r="Y15" i="50" s="1"/>
  <c r="W7" i="50"/>
  <c r="U15" i="50"/>
  <c r="AL7" i="50"/>
  <c r="F23" i="50"/>
  <c r="E47" i="50"/>
  <c r="AI47" i="50" s="1"/>
  <c r="AR8" i="50"/>
  <c r="C31" i="50"/>
  <c r="B3" i="50"/>
  <c r="B5" i="50" s="1"/>
  <c r="AT8" i="51" l="1"/>
  <c r="BA8" i="51"/>
  <c r="X25" i="51"/>
  <c r="X33" i="51"/>
  <c r="AD7" i="51"/>
  <c r="AD39" i="51" s="1"/>
  <c r="U16" i="51"/>
  <c r="AD11" i="51"/>
  <c r="AB15" i="51"/>
  <c r="E17" i="51"/>
  <c r="AE19" i="51"/>
  <c r="AE23" i="51"/>
  <c r="T25" i="51"/>
  <c r="T28" i="51"/>
  <c r="T33" i="51"/>
  <c r="E36" i="51"/>
  <c r="S40" i="51"/>
  <c r="AC15" i="51"/>
  <c r="AH20" i="51"/>
  <c r="E24" i="51"/>
  <c r="F36" i="51"/>
  <c r="T40" i="51"/>
  <c r="J47" i="51"/>
  <c r="AN47" i="51" s="1"/>
  <c r="E49" i="51"/>
  <c r="AI49" i="51" s="1"/>
  <c r="AN10" i="51"/>
  <c r="AN26" i="51" s="1"/>
  <c r="J16" i="51"/>
  <c r="Z33" i="51"/>
  <c r="D41" i="51"/>
  <c r="AH41" i="51" s="1"/>
  <c r="AM12" i="51"/>
  <c r="AM28" i="51" s="1"/>
  <c r="J15" i="51"/>
  <c r="K16" i="51"/>
  <c r="S17" i="51"/>
  <c r="E20" i="51"/>
  <c r="J23" i="51"/>
  <c r="AD24" i="51"/>
  <c r="Z25" i="51"/>
  <c r="F32" i="51"/>
  <c r="E41" i="51"/>
  <c r="AI41" i="51" s="1"/>
  <c r="AO7" i="51"/>
  <c r="AO15" i="51" s="1"/>
  <c r="T20" i="51"/>
  <c r="M16" i="51"/>
  <c r="T17" i="51"/>
  <c r="N34" i="51"/>
  <c r="I20" i="51"/>
  <c r="I26" i="51"/>
  <c r="AI28" i="51"/>
  <c r="J48" i="51"/>
  <c r="AN48" i="51" s="1"/>
  <c r="X7" i="51"/>
  <c r="X47" i="51" s="1"/>
  <c r="S33" i="51"/>
  <c r="AN11" i="51"/>
  <c r="AN19" i="51" s="1"/>
  <c r="AC12" i="51"/>
  <c r="AC36" i="51" s="1"/>
  <c r="D25" i="51"/>
  <c r="D31" i="51"/>
  <c r="S32" i="51"/>
  <c r="AE31" i="51"/>
  <c r="AN7" i="51"/>
  <c r="AN31" i="51" s="1"/>
  <c r="AH28" i="51"/>
  <c r="C25" i="51"/>
  <c r="Y7" i="51"/>
  <c r="K27" i="51"/>
  <c r="AD12" i="51"/>
  <c r="AD20" i="51" s="1"/>
  <c r="AJ17" i="51"/>
  <c r="E25" i="51"/>
  <c r="J39" i="51"/>
  <c r="AN39" i="51" s="1"/>
  <c r="AI20" i="51"/>
  <c r="U20" i="51"/>
  <c r="Z23" i="51"/>
  <c r="AH18" i="51"/>
  <c r="AH26" i="51"/>
  <c r="AH34" i="51"/>
  <c r="AH27" i="51"/>
  <c r="AH35" i="51"/>
  <c r="AH19" i="51"/>
  <c r="AI19" i="51"/>
  <c r="AI35" i="51"/>
  <c r="AI27" i="51"/>
  <c r="AJ19" i="51"/>
  <c r="AJ35" i="51"/>
  <c r="AJ27" i="51"/>
  <c r="AL31" i="51"/>
  <c r="AL23" i="51"/>
  <c r="C18" i="51"/>
  <c r="W10" i="51"/>
  <c r="C26" i="51"/>
  <c r="C34" i="51"/>
  <c r="AG10" i="51"/>
  <c r="S18" i="51"/>
  <c r="S26" i="51"/>
  <c r="P28" i="51"/>
  <c r="P36" i="51"/>
  <c r="P20" i="51"/>
  <c r="D34" i="51"/>
  <c r="N40" i="51"/>
  <c r="N32" i="51"/>
  <c r="N48" i="51"/>
  <c r="N16" i="51"/>
  <c r="H49" i="51"/>
  <c r="AL49" i="51" s="1"/>
  <c r="H25" i="51"/>
  <c r="H17" i="51"/>
  <c r="AL9" i="51"/>
  <c r="AB9" i="51"/>
  <c r="W49" i="51"/>
  <c r="W41" i="51"/>
  <c r="W25" i="51"/>
  <c r="W33" i="51"/>
  <c r="W17" i="51"/>
  <c r="S36" i="51"/>
  <c r="S28" i="51"/>
  <c r="S20" i="51"/>
  <c r="AL15" i="51"/>
  <c r="AM20" i="51"/>
  <c r="AL16" i="51"/>
  <c r="AL24" i="51"/>
  <c r="AL32" i="51"/>
  <c r="AC34" i="51"/>
  <c r="AC26" i="51"/>
  <c r="AB47" i="51"/>
  <c r="AB23" i="51"/>
  <c r="AB31" i="51"/>
  <c r="C48" i="51"/>
  <c r="AG48" i="51" s="1"/>
  <c r="C40" i="51"/>
  <c r="AG40" i="51" s="1"/>
  <c r="C24" i="51"/>
  <c r="C16" i="51"/>
  <c r="W8" i="51"/>
  <c r="C32" i="51"/>
  <c r="R24" i="51"/>
  <c r="R48" i="51"/>
  <c r="AS8" i="51"/>
  <c r="AV8" i="51"/>
  <c r="K18" i="51"/>
  <c r="AE10" i="51"/>
  <c r="K26" i="51"/>
  <c r="AO10" i="51"/>
  <c r="K34" i="51"/>
  <c r="O19" i="51"/>
  <c r="O35" i="51"/>
  <c r="Z20" i="51"/>
  <c r="Z36" i="51"/>
  <c r="N24" i="51"/>
  <c r="S34" i="51"/>
  <c r="R15" i="51"/>
  <c r="R23" i="51"/>
  <c r="R47" i="51"/>
  <c r="R31" i="51"/>
  <c r="R39" i="51"/>
  <c r="F19" i="51"/>
  <c r="Z11" i="51"/>
  <c r="F27" i="51"/>
  <c r="O28" i="51"/>
  <c r="O36" i="51"/>
  <c r="O20" i="51"/>
  <c r="M39" i="51"/>
  <c r="M23" i="51"/>
  <c r="M47" i="51"/>
  <c r="AC39" i="51"/>
  <c r="AC31" i="51"/>
  <c r="D48" i="51"/>
  <c r="AH48" i="51" s="1"/>
  <c r="D40" i="51"/>
  <c r="AH40" i="51" s="1"/>
  <c r="D32" i="51"/>
  <c r="D24" i="51"/>
  <c r="X8" i="51"/>
  <c r="S24" i="51"/>
  <c r="S16" i="51"/>
  <c r="AC17" i="51"/>
  <c r="AC25" i="51"/>
  <c r="AC41" i="51"/>
  <c r="AC49" i="51"/>
  <c r="AC33" i="51"/>
  <c r="Y20" i="51"/>
  <c r="Y36" i="51"/>
  <c r="Y28" i="51"/>
  <c r="AC20" i="51"/>
  <c r="N39" i="51"/>
  <c r="N23" i="51"/>
  <c r="N47" i="51"/>
  <c r="AR7" i="51"/>
  <c r="N31" i="51"/>
  <c r="N41" i="51"/>
  <c r="N17" i="51"/>
  <c r="N25" i="51"/>
  <c r="N33" i="51"/>
  <c r="N49" i="51"/>
  <c r="AD25" i="51"/>
  <c r="AD41" i="51"/>
  <c r="AD33" i="51"/>
  <c r="AD17" i="51"/>
  <c r="AD49" i="51"/>
  <c r="AJ12" i="51"/>
  <c r="F28" i="51"/>
  <c r="F20" i="51"/>
  <c r="M31" i="51"/>
  <c r="F35" i="51"/>
  <c r="C15" i="51"/>
  <c r="C23" i="51"/>
  <c r="C47" i="51"/>
  <c r="AG47" i="51" s="1"/>
  <c r="C39" i="51"/>
  <c r="AG39" i="51" s="1"/>
  <c r="C31" i="51"/>
  <c r="W7" i="51"/>
  <c r="AG24" i="51"/>
  <c r="AG32" i="51"/>
  <c r="AE32" i="51"/>
  <c r="AE24" i="51"/>
  <c r="R18" i="51"/>
  <c r="R26" i="51"/>
  <c r="U19" i="51"/>
  <c r="U35" i="51"/>
  <c r="U27" i="51"/>
  <c r="AM31" i="51"/>
  <c r="AM23" i="51"/>
  <c r="D18" i="51"/>
  <c r="X10" i="51"/>
  <c r="D26" i="51"/>
  <c r="AH32" i="51"/>
  <c r="AH24" i="51"/>
  <c r="AH16" i="51"/>
  <c r="E26" i="51"/>
  <c r="AI10" i="51"/>
  <c r="E34" i="51"/>
  <c r="E18" i="51"/>
  <c r="Y10" i="51"/>
  <c r="AE16" i="51"/>
  <c r="O25" i="51"/>
  <c r="O33" i="51"/>
  <c r="O49" i="51"/>
  <c r="O41" i="51"/>
  <c r="O17" i="51"/>
  <c r="AI25" i="51"/>
  <c r="AI33" i="51"/>
  <c r="D27" i="51"/>
  <c r="D35" i="51"/>
  <c r="D19" i="51"/>
  <c r="X11" i="51"/>
  <c r="S35" i="51"/>
  <c r="S19" i="51"/>
  <c r="S27" i="51"/>
  <c r="AG7" i="51"/>
  <c r="E19" i="51"/>
  <c r="Y11" i="51"/>
  <c r="E35" i="51"/>
  <c r="E27" i="51"/>
  <c r="T19" i="51"/>
  <c r="T35" i="51"/>
  <c r="T27" i="51"/>
  <c r="H41" i="51"/>
  <c r="AL41" i="51" s="1"/>
  <c r="AN23" i="51"/>
  <c r="AN15" i="51"/>
  <c r="I41" i="51"/>
  <c r="AM41" i="51" s="1"/>
  <c r="I49" i="51"/>
  <c r="AM49" i="51" s="1"/>
  <c r="I25" i="51"/>
  <c r="AM9" i="51"/>
  <c r="X49" i="51"/>
  <c r="X41" i="51"/>
  <c r="H19" i="51"/>
  <c r="AB11" i="51"/>
  <c r="H27" i="51"/>
  <c r="H35" i="51"/>
  <c r="W19" i="51"/>
  <c r="W27" i="51"/>
  <c r="AE28" i="51"/>
  <c r="AE36" i="51"/>
  <c r="H47" i="51"/>
  <c r="AL47" i="51" s="1"/>
  <c r="H31" i="51"/>
  <c r="H39" i="51"/>
  <c r="AL39" i="51" s="1"/>
  <c r="AO31" i="51"/>
  <c r="J41" i="51"/>
  <c r="AN41" i="51" s="1"/>
  <c r="J17" i="51"/>
  <c r="J33" i="51"/>
  <c r="J25" i="51"/>
  <c r="AN9" i="51"/>
  <c r="Y17" i="51"/>
  <c r="Y49" i="51"/>
  <c r="Y33" i="51"/>
  <c r="Y41" i="51"/>
  <c r="I19" i="51"/>
  <c r="AC11" i="51"/>
  <c r="I27" i="51"/>
  <c r="I35" i="51"/>
  <c r="H23" i="51"/>
  <c r="AO23" i="51"/>
  <c r="I16" i="51"/>
  <c r="I24" i="51"/>
  <c r="I40" i="51"/>
  <c r="AM40" i="51" s="1"/>
  <c r="I32" i="51"/>
  <c r="I48" i="51"/>
  <c r="AM48" i="51" s="1"/>
  <c r="AM8" i="51"/>
  <c r="AC8" i="51"/>
  <c r="K17" i="51"/>
  <c r="AE9" i="51"/>
  <c r="K33" i="51"/>
  <c r="X17" i="51"/>
  <c r="AD40" i="51"/>
  <c r="AD32" i="51"/>
  <c r="M41" i="51"/>
  <c r="M17" i="51"/>
  <c r="M25" i="51"/>
  <c r="M49" i="51"/>
  <c r="M33" i="51"/>
  <c r="J34" i="51"/>
  <c r="J18" i="51"/>
  <c r="AD10" i="51"/>
  <c r="AB26" i="51"/>
  <c r="AB34" i="51"/>
  <c r="AJ33" i="51"/>
  <c r="O48" i="51"/>
  <c r="O40" i="51"/>
  <c r="O15" i="51"/>
  <c r="O47" i="51"/>
  <c r="O31" i="51"/>
  <c r="O39" i="51"/>
  <c r="AD31" i="51"/>
  <c r="AI16" i="51"/>
  <c r="AI32" i="51"/>
  <c r="P35" i="51"/>
  <c r="P19" i="51"/>
  <c r="AL11" i="51"/>
  <c r="AE20" i="51"/>
  <c r="O24" i="51"/>
  <c r="O32" i="51"/>
  <c r="I33" i="51"/>
  <c r="P15" i="51"/>
  <c r="P31" i="51"/>
  <c r="AJ16" i="51"/>
  <c r="AJ32" i="51"/>
  <c r="AO9" i="51"/>
  <c r="P18" i="51"/>
  <c r="P26" i="51"/>
  <c r="C27" i="51"/>
  <c r="AG11" i="51"/>
  <c r="R27" i="51"/>
  <c r="R19" i="51"/>
  <c r="AM11" i="51"/>
  <c r="AB18" i="51"/>
  <c r="P24" i="51"/>
  <c r="P34" i="51"/>
  <c r="I31" i="51"/>
  <c r="I39" i="51"/>
  <c r="AM39" i="51" s="1"/>
  <c r="E48" i="51"/>
  <c r="AI48" i="51" s="1"/>
  <c r="Y8" i="51"/>
  <c r="E16" i="51"/>
  <c r="E32" i="51"/>
  <c r="T16" i="51"/>
  <c r="T32" i="51"/>
  <c r="AN27" i="51"/>
  <c r="AN35" i="51"/>
  <c r="J20" i="51"/>
  <c r="AN12" i="51"/>
  <c r="J36" i="51"/>
  <c r="T24" i="51"/>
  <c r="F25" i="51"/>
  <c r="AD27" i="51"/>
  <c r="Z8" i="51"/>
  <c r="F16" i="51"/>
  <c r="K20" i="51"/>
  <c r="AO12" i="51"/>
  <c r="U24" i="51"/>
  <c r="H48" i="51"/>
  <c r="AL48" i="51" s="1"/>
  <c r="AB8" i="51"/>
  <c r="H16" i="51"/>
  <c r="H24" i="51"/>
  <c r="O18" i="51"/>
  <c r="O34" i="51"/>
  <c r="N20" i="51"/>
  <c r="N28" i="51"/>
  <c r="E40" i="51"/>
  <c r="AI40" i="51" s="1"/>
  <c r="J32" i="51"/>
  <c r="T34" i="51"/>
  <c r="J35" i="51"/>
  <c r="C49" i="51"/>
  <c r="AG49" i="51" s="1"/>
  <c r="AH7" i="51"/>
  <c r="AN8" i="51"/>
  <c r="AJ10" i="51"/>
  <c r="AO11" i="51"/>
  <c r="D23" i="51"/>
  <c r="S23" i="51"/>
  <c r="F31" i="51"/>
  <c r="U31" i="51"/>
  <c r="K32" i="51"/>
  <c r="P33" i="51"/>
  <c r="F34" i="51"/>
  <c r="U34" i="51"/>
  <c r="K35" i="51"/>
  <c r="J40" i="51"/>
  <c r="AN40" i="51" s="1"/>
  <c r="D47" i="51"/>
  <c r="AH47" i="51" s="1"/>
  <c r="D49" i="51"/>
  <c r="AH49" i="51" s="1"/>
  <c r="AI7" i="51"/>
  <c r="AO8" i="51"/>
  <c r="AG9" i="51"/>
  <c r="AL10" i="51"/>
  <c r="X12" i="51"/>
  <c r="E23" i="51"/>
  <c r="J27" i="51"/>
  <c r="M32" i="51"/>
  <c r="AJ7" i="51"/>
  <c r="AH9" i="51"/>
  <c r="AM10" i="51"/>
  <c r="X33" i="50"/>
  <c r="X25" i="50"/>
  <c r="X17" i="50"/>
  <c r="I19" i="50"/>
  <c r="M34" i="50"/>
  <c r="D36" i="50"/>
  <c r="X12" i="50"/>
  <c r="Z17" i="50"/>
  <c r="AH8" i="50"/>
  <c r="AH32" i="50" s="1"/>
  <c r="E36" i="50"/>
  <c r="AE16" i="50"/>
  <c r="AM17" i="50"/>
  <c r="C25" i="50"/>
  <c r="AL8" i="50"/>
  <c r="D27" i="50"/>
  <c r="W9" i="50"/>
  <c r="W17" i="50" s="1"/>
  <c r="K20" i="50"/>
  <c r="T15" i="50"/>
  <c r="I27" i="50"/>
  <c r="I28" i="50"/>
  <c r="I31" i="50"/>
  <c r="D33" i="50"/>
  <c r="Y39" i="50"/>
  <c r="T47" i="50"/>
  <c r="AH33" i="50"/>
  <c r="AB8" i="50"/>
  <c r="AI36" i="50"/>
  <c r="X16" i="50"/>
  <c r="R49" i="50"/>
  <c r="E28" i="50"/>
  <c r="I36" i="50"/>
  <c r="R33" i="50"/>
  <c r="I15" i="50"/>
  <c r="C17" i="50"/>
  <c r="D17" i="50"/>
  <c r="F25" i="50"/>
  <c r="T39" i="50"/>
  <c r="O47" i="50"/>
  <c r="O23" i="50"/>
  <c r="AO8" i="50"/>
  <c r="AO24" i="50" s="1"/>
  <c r="AC11" i="50"/>
  <c r="F17" i="50"/>
  <c r="S19" i="50"/>
  <c r="R25" i="50"/>
  <c r="K28" i="50"/>
  <c r="H48" i="50"/>
  <c r="AL48" i="50" s="1"/>
  <c r="Y12" i="50"/>
  <c r="M18" i="50"/>
  <c r="N48" i="50"/>
  <c r="AI20" i="50"/>
  <c r="O24" i="50"/>
  <c r="AT8" i="50"/>
  <c r="BA8" i="50"/>
  <c r="AI16" i="50"/>
  <c r="AI32" i="50"/>
  <c r="AI24" i="50"/>
  <c r="AL31" i="50"/>
  <c r="AL23" i="50"/>
  <c r="AL15" i="50"/>
  <c r="AO16" i="50"/>
  <c r="AJ27" i="50"/>
  <c r="AJ19" i="50"/>
  <c r="AJ35" i="50"/>
  <c r="AG18" i="50"/>
  <c r="AG26" i="50"/>
  <c r="AG34" i="50"/>
  <c r="AL19" i="50"/>
  <c r="AL27" i="50"/>
  <c r="AL35" i="50"/>
  <c r="S28" i="50"/>
  <c r="S20" i="50"/>
  <c r="S36" i="50"/>
  <c r="H15" i="50"/>
  <c r="N17" i="50"/>
  <c r="AE18" i="50"/>
  <c r="AB7" i="50"/>
  <c r="AH26" i="50"/>
  <c r="AH34" i="50"/>
  <c r="AH18" i="50"/>
  <c r="AM25" i="50"/>
  <c r="K31" i="50"/>
  <c r="AE7" i="50"/>
  <c r="AC39" i="50"/>
  <c r="AC47" i="50"/>
  <c r="AC15" i="50"/>
  <c r="AN17" i="50"/>
  <c r="AN33" i="50"/>
  <c r="AO35" i="50"/>
  <c r="AO19" i="50"/>
  <c r="K15" i="50"/>
  <c r="N25" i="50"/>
  <c r="AN25" i="50"/>
  <c r="F35" i="50"/>
  <c r="M39" i="50"/>
  <c r="M47" i="50"/>
  <c r="M31" i="50"/>
  <c r="AD39" i="50"/>
  <c r="AD15" i="50"/>
  <c r="AD47" i="50"/>
  <c r="P32" i="50"/>
  <c r="P16" i="50"/>
  <c r="AJ16" i="50"/>
  <c r="AJ32" i="50"/>
  <c r="AO33" i="50"/>
  <c r="AO25" i="50"/>
  <c r="AG11" i="50"/>
  <c r="W11" i="50"/>
  <c r="M15" i="50"/>
  <c r="AO15" i="50"/>
  <c r="AN18" i="50"/>
  <c r="U19" i="50"/>
  <c r="P25" i="50"/>
  <c r="F26" i="50"/>
  <c r="N47" i="50"/>
  <c r="N23" i="50"/>
  <c r="AR7" i="50"/>
  <c r="AH7" i="50"/>
  <c r="C48" i="50"/>
  <c r="AG48" i="50" s="1"/>
  <c r="C32" i="50"/>
  <c r="W8" i="50"/>
  <c r="C40" i="50"/>
  <c r="AG40" i="50" s="1"/>
  <c r="R48" i="50"/>
  <c r="R40" i="50"/>
  <c r="R16" i="50"/>
  <c r="R32" i="50"/>
  <c r="AL16" i="50"/>
  <c r="AL24" i="50"/>
  <c r="AL32" i="50"/>
  <c r="E49" i="50"/>
  <c r="AI49" i="50" s="1"/>
  <c r="E33" i="50"/>
  <c r="Y9" i="50"/>
  <c r="E41" i="50"/>
  <c r="AI41" i="50" s="1"/>
  <c r="AI9" i="50"/>
  <c r="T33" i="50"/>
  <c r="T49" i="50"/>
  <c r="T41" i="50"/>
  <c r="AH11" i="50"/>
  <c r="X11" i="50"/>
  <c r="AD12" i="50"/>
  <c r="N15" i="50"/>
  <c r="C16" i="50"/>
  <c r="AG16" i="50"/>
  <c r="D23" i="50"/>
  <c r="AG24" i="50"/>
  <c r="AN26" i="50"/>
  <c r="U27" i="50"/>
  <c r="J28" i="50"/>
  <c r="AC31" i="50"/>
  <c r="C39" i="50"/>
  <c r="AG39" i="50" s="1"/>
  <c r="AJ7" i="50"/>
  <c r="D48" i="50"/>
  <c r="AH48" i="50" s="1"/>
  <c r="D40" i="50"/>
  <c r="AH40" i="50" s="1"/>
  <c r="D32" i="50"/>
  <c r="S48" i="50"/>
  <c r="S40" i="50"/>
  <c r="S24" i="50"/>
  <c r="E19" i="50"/>
  <c r="Y11" i="50"/>
  <c r="E27" i="50"/>
  <c r="T19" i="50"/>
  <c r="T35" i="50"/>
  <c r="F36" i="50"/>
  <c r="AJ12" i="50"/>
  <c r="Z12" i="50"/>
  <c r="AE36" i="50"/>
  <c r="AE20" i="50"/>
  <c r="D16" i="50"/>
  <c r="C19" i="50"/>
  <c r="AO23" i="50"/>
  <c r="T25" i="50"/>
  <c r="AO28" i="50"/>
  <c r="AD31" i="50"/>
  <c r="N33" i="50"/>
  <c r="O34" i="50"/>
  <c r="R35" i="50"/>
  <c r="AE17" i="50"/>
  <c r="AE25" i="50"/>
  <c r="E48" i="50"/>
  <c r="AI48" i="50" s="1"/>
  <c r="E16" i="50"/>
  <c r="E24" i="50"/>
  <c r="E40" i="50"/>
  <c r="AI40" i="50" s="1"/>
  <c r="T16" i="50"/>
  <c r="T48" i="50"/>
  <c r="T40" i="50"/>
  <c r="T24" i="50"/>
  <c r="H33" i="50"/>
  <c r="AL9" i="50"/>
  <c r="H49" i="50"/>
  <c r="AL49" i="50" s="1"/>
  <c r="H17" i="50"/>
  <c r="W49" i="50"/>
  <c r="W33" i="50"/>
  <c r="W25" i="50"/>
  <c r="AC36" i="50"/>
  <c r="AC20" i="50"/>
  <c r="AH36" i="50"/>
  <c r="AH28" i="50"/>
  <c r="AH20" i="50"/>
  <c r="P33" i="50"/>
  <c r="AN31" i="50"/>
  <c r="AN23" i="50"/>
  <c r="W31" i="50"/>
  <c r="W47" i="50"/>
  <c r="W23" i="50"/>
  <c r="W39" i="50"/>
  <c r="H31" i="50"/>
  <c r="H23" i="50"/>
  <c r="H47" i="50"/>
  <c r="AL47" i="50" s="1"/>
  <c r="H39" i="50"/>
  <c r="AL39" i="50" s="1"/>
  <c r="P36" i="50"/>
  <c r="P20" i="50"/>
  <c r="P28" i="50"/>
  <c r="S47" i="50"/>
  <c r="S31" i="50"/>
  <c r="S15" i="50"/>
  <c r="X48" i="50"/>
  <c r="X40" i="50"/>
  <c r="X32" i="50"/>
  <c r="C15" i="50"/>
  <c r="C47" i="50"/>
  <c r="AG47" i="50" s="1"/>
  <c r="C23" i="50"/>
  <c r="AG7" i="50"/>
  <c r="R15" i="50"/>
  <c r="R23" i="50"/>
  <c r="R47" i="50"/>
  <c r="R39" i="50"/>
  <c r="R31" i="50"/>
  <c r="F18" i="50"/>
  <c r="Z10" i="50"/>
  <c r="AJ10" i="50"/>
  <c r="U34" i="50"/>
  <c r="U18" i="50"/>
  <c r="Z11" i="50"/>
  <c r="J20" i="50"/>
  <c r="AN12" i="50"/>
  <c r="W15" i="50"/>
  <c r="F19" i="50"/>
  <c r="N49" i="50"/>
  <c r="D47" i="50"/>
  <c r="AH47" i="50" s="1"/>
  <c r="X7" i="50"/>
  <c r="D39" i="50"/>
  <c r="AH39" i="50" s="1"/>
  <c r="X26" i="50"/>
  <c r="X34" i="50"/>
  <c r="AC27" i="50"/>
  <c r="AC19" i="50"/>
  <c r="AM36" i="50"/>
  <c r="AM28" i="50"/>
  <c r="O26" i="50"/>
  <c r="AC35" i="50"/>
  <c r="H41" i="50"/>
  <c r="AL41" i="50" s="1"/>
  <c r="I40" i="50"/>
  <c r="AM40" i="50" s="1"/>
  <c r="I48" i="50"/>
  <c r="AM48" i="50" s="1"/>
  <c r="AC8" i="50"/>
  <c r="I16" i="50"/>
  <c r="AM8" i="50"/>
  <c r="Y8" i="50"/>
  <c r="AB9" i="50"/>
  <c r="I26" i="50"/>
  <c r="AM10" i="50"/>
  <c r="I34" i="50"/>
  <c r="I18" i="50"/>
  <c r="AC10" i="50"/>
  <c r="Y34" i="50"/>
  <c r="Y26" i="50"/>
  <c r="AD35" i="50"/>
  <c r="AD27" i="50"/>
  <c r="AD19" i="50"/>
  <c r="AH17" i="50"/>
  <c r="X18" i="50"/>
  <c r="Z25" i="50"/>
  <c r="P26" i="50"/>
  <c r="AM27" i="50"/>
  <c r="E32" i="50"/>
  <c r="F15" i="50"/>
  <c r="Z7" i="50"/>
  <c r="J24" i="50"/>
  <c r="J40" i="50"/>
  <c r="AN40" i="50" s="1"/>
  <c r="J32" i="50"/>
  <c r="J48" i="50"/>
  <c r="AN48" i="50" s="1"/>
  <c r="AD8" i="50"/>
  <c r="J16" i="50"/>
  <c r="AN8" i="50"/>
  <c r="AB32" i="50"/>
  <c r="AB24" i="50"/>
  <c r="M41" i="50"/>
  <c r="M17" i="50"/>
  <c r="M25" i="50"/>
  <c r="M49" i="50"/>
  <c r="AC41" i="50"/>
  <c r="AC49" i="50"/>
  <c r="AC33" i="50"/>
  <c r="AC25" i="50"/>
  <c r="AC17" i="50"/>
  <c r="J34" i="50"/>
  <c r="J18" i="50"/>
  <c r="AD10" i="50"/>
  <c r="AB34" i="50"/>
  <c r="AB18" i="50"/>
  <c r="K35" i="50"/>
  <c r="K19" i="50"/>
  <c r="AE11" i="50"/>
  <c r="AI19" i="50"/>
  <c r="AI27" i="50"/>
  <c r="AI35" i="50"/>
  <c r="O28" i="50"/>
  <c r="O36" i="50"/>
  <c r="O20" i="50"/>
  <c r="D15" i="50"/>
  <c r="S16" i="50"/>
  <c r="Y18" i="50"/>
  <c r="S23" i="50"/>
  <c r="E25" i="50"/>
  <c r="AO27" i="50"/>
  <c r="U28" i="50"/>
  <c r="N31" i="50"/>
  <c r="AE33" i="50"/>
  <c r="AE34" i="50"/>
  <c r="Y47" i="50"/>
  <c r="Y31" i="50"/>
  <c r="H19" i="50"/>
  <c r="AB11" i="50"/>
  <c r="H27" i="50"/>
  <c r="J39" i="50"/>
  <c r="AN39" i="50" s="1"/>
  <c r="J47" i="50"/>
  <c r="AN47" i="50" s="1"/>
  <c r="J31" i="50"/>
  <c r="H16" i="50"/>
  <c r="H24" i="50"/>
  <c r="D49" i="50"/>
  <c r="AH49" i="50" s="1"/>
  <c r="D41" i="50"/>
  <c r="AH41" i="50" s="1"/>
  <c r="D25" i="50"/>
  <c r="S49" i="50"/>
  <c r="S25" i="50"/>
  <c r="J15" i="50"/>
  <c r="N35" i="50"/>
  <c r="I41" i="50"/>
  <c r="AM41" i="50" s="1"/>
  <c r="I49" i="50"/>
  <c r="AM49" i="50" s="1"/>
  <c r="O15" i="50"/>
  <c r="O39" i="50"/>
  <c r="M40" i="50"/>
  <c r="M32" i="50"/>
  <c r="M24" i="50"/>
  <c r="X49" i="50"/>
  <c r="X41" i="50"/>
  <c r="C18" i="50"/>
  <c r="W10" i="50"/>
  <c r="C26" i="50"/>
  <c r="R18" i="50"/>
  <c r="R26" i="50"/>
  <c r="Y23" i="50"/>
  <c r="I25" i="50"/>
  <c r="J41" i="50"/>
  <c r="AN41" i="50" s="1"/>
  <c r="J17" i="50"/>
  <c r="AD9" i="50"/>
  <c r="J49" i="50"/>
  <c r="AN49" i="50" s="1"/>
  <c r="S17" i="50"/>
  <c r="F24" i="50"/>
  <c r="AE24" i="50"/>
  <c r="J25" i="50"/>
  <c r="I33" i="50"/>
  <c r="O32" i="50"/>
  <c r="O41" i="50"/>
  <c r="I47" i="50"/>
  <c r="AM47" i="50" s="1"/>
  <c r="AM7" i="50"/>
  <c r="AJ9" i="50"/>
  <c r="AO10" i="50"/>
  <c r="K16" i="50"/>
  <c r="I23" i="50"/>
  <c r="D28" i="50"/>
  <c r="R41" i="50"/>
  <c r="AI10" i="50"/>
  <c r="AN11" i="50"/>
  <c r="E31" i="50"/>
  <c r="T31" i="50"/>
  <c r="O33" i="50"/>
  <c r="E34" i="50"/>
  <c r="T34" i="50"/>
  <c r="J35" i="50"/>
  <c r="C49" i="50"/>
  <c r="AG49" i="50" s="1"/>
  <c r="AI7" i="50"/>
  <c r="AG9" i="50"/>
  <c r="AL10" i="50"/>
  <c r="E23" i="50"/>
  <c r="X31" i="51" l="1"/>
  <c r="AD19" i="51"/>
  <c r="AD35" i="51"/>
  <c r="AC28" i="51"/>
  <c r="AM36" i="51"/>
  <c r="Y47" i="51"/>
  <c r="Y15" i="51"/>
  <c r="Y23" i="51"/>
  <c r="Y39" i="51"/>
  <c r="Y31" i="51"/>
  <c r="AD47" i="51"/>
  <c r="AD23" i="51"/>
  <c r="AD15" i="51"/>
  <c r="AN34" i="51"/>
  <c r="AN18" i="51"/>
  <c r="X15" i="51"/>
  <c r="X39" i="51"/>
  <c r="X23" i="51"/>
  <c r="AD36" i="51"/>
  <c r="AD28" i="51"/>
  <c r="AH15" i="51"/>
  <c r="AH23" i="51"/>
  <c r="AH31" i="51"/>
  <c r="AB35" i="51"/>
  <c r="AB27" i="51"/>
  <c r="AB19" i="51"/>
  <c r="X16" i="51"/>
  <c r="X48" i="51"/>
  <c r="X24" i="51"/>
  <c r="X32" i="51"/>
  <c r="X40" i="51"/>
  <c r="AD18" i="51"/>
  <c r="AD34" i="51"/>
  <c r="AD26" i="51"/>
  <c r="AC35" i="51"/>
  <c r="AC27" i="51"/>
  <c r="AC19" i="51"/>
  <c r="Z27" i="51"/>
  <c r="Z35" i="51"/>
  <c r="Z19" i="51"/>
  <c r="W24" i="51"/>
  <c r="W16" i="51"/>
  <c r="W48" i="51"/>
  <c r="W40" i="51"/>
  <c r="W32" i="51"/>
  <c r="AO36" i="51"/>
  <c r="AO28" i="51"/>
  <c r="AO20" i="51"/>
  <c r="AC32" i="51"/>
  <c r="AC40" i="51"/>
  <c r="AC48" i="51"/>
  <c r="AC16" i="51"/>
  <c r="AC24" i="51"/>
  <c r="AL25" i="51"/>
  <c r="AL33" i="51"/>
  <c r="AL17" i="51"/>
  <c r="X20" i="51"/>
  <c r="X28" i="51"/>
  <c r="X36" i="51"/>
  <c r="AM19" i="51"/>
  <c r="AM27" i="51"/>
  <c r="AM35" i="51"/>
  <c r="AM16" i="51"/>
  <c r="AM24" i="51"/>
  <c r="AM32" i="51"/>
  <c r="AM33" i="51"/>
  <c r="AM17" i="51"/>
  <c r="AM25" i="51"/>
  <c r="AL34" i="51"/>
  <c r="AL18" i="51"/>
  <c r="AL26" i="51"/>
  <c r="AO26" i="51"/>
  <c r="AO34" i="51"/>
  <c r="AO18" i="51"/>
  <c r="AG18" i="51"/>
  <c r="AG26" i="51"/>
  <c r="AG34" i="51"/>
  <c r="AG33" i="51"/>
  <c r="AG17" i="51"/>
  <c r="AG25" i="51"/>
  <c r="Z24" i="51"/>
  <c r="Z32" i="51"/>
  <c r="Z16" i="51"/>
  <c r="AG15" i="51"/>
  <c r="AG23" i="51"/>
  <c r="AG31" i="51"/>
  <c r="AB48" i="51"/>
  <c r="AB32" i="51"/>
  <c r="AB24" i="51"/>
  <c r="AB16" i="51"/>
  <c r="AB40" i="51"/>
  <c r="AB49" i="51"/>
  <c r="AB17" i="51"/>
  <c r="AB25" i="51"/>
  <c r="AB41" i="51"/>
  <c r="AB33" i="51"/>
  <c r="Y27" i="51"/>
  <c r="Y35" i="51"/>
  <c r="Y19" i="51"/>
  <c r="AO24" i="51"/>
  <c r="AO32" i="51"/>
  <c r="AO16" i="51"/>
  <c r="Y48" i="51"/>
  <c r="Y24" i="51"/>
  <c r="Y32" i="51"/>
  <c r="Y16" i="51"/>
  <c r="Y40" i="51"/>
  <c r="AG27" i="51"/>
  <c r="AG35" i="51"/>
  <c r="AG19" i="51"/>
  <c r="X34" i="51"/>
  <c r="X26" i="51"/>
  <c r="X18" i="51"/>
  <c r="AE18" i="51"/>
  <c r="AE26" i="51"/>
  <c r="AE34" i="51"/>
  <c r="AI23" i="51"/>
  <c r="AI31" i="51"/>
  <c r="AI15" i="51"/>
  <c r="AL19" i="51"/>
  <c r="AL27" i="51"/>
  <c r="AL35" i="51"/>
  <c r="AN17" i="51"/>
  <c r="AN33" i="51"/>
  <c r="AN25" i="51"/>
  <c r="W31" i="51"/>
  <c r="W47" i="51"/>
  <c r="W39" i="51"/>
  <c r="W15" i="51"/>
  <c r="W23" i="51"/>
  <c r="AJ20" i="51"/>
  <c r="AJ28" i="51"/>
  <c r="AJ36" i="51"/>
  <c r="AT7" i="51"/>
  <c r="BA7" i="51"/>
  <c r="W34" i="51"/>
  <c r="W26" i="51"/>
  <c r="W18" i="51"/>
  <c r="AX8" i="51"/>
  <c r="AZ8" i="51" s="1"/>
  <c r="BB8" i="51" s="1"/>
  <c r="AU8" i="51"/>
  <c r="Y34" i="51"/>
  <c r="Y26" i="51"/>
  <c r="Y18" i="51"/>
  <c r="AJ23" i="51"/>
  <c r="AJ31" i="51"/>
  <c r="AJ15" i="51"/>
  <c r="AE25" i="51"/>
  <c r="AE33" i="51"/>
  <c r="AE17" i="51"/>
  <c r="AI26" i="51"/>
  <c r="AI34" i="51"/>
  <c r="AI18" i="51"/>
  <c r="AO27" i="51"/>
  <c r="AO35" i="51"/>
  <c r="AO19" i="51"/>
  <c r="AM34" i="51"/>
  <c r="AM26" i="51"/>
  <c r="AM18" i="51"/>
  <c r="AJ26" i="51"/>
  <c r="AJ34" i="51"/>
  <c r="AJ18" i="51"/>
  <c r="X19" i="51"/>
  <c r="X27" i="51"/>
  <c r="X35" i="51"/>
  <c r="AH33" i="51"/>
  <c r="AH25" i="51"/>
  <c r="AH17" i="51"/>
  <c r="AN24" i="51"/>
  <c r="AN32" i="51"/>
  <c r="AN16" i="51"/>
  <c r="AN28" i="51"/>
  <c r="AN36" i="51"/>
  <c r="AN20" i="51"/>
  <c r="AO17" i="51"/>
  <c r="AO33" i="51"/>
  <c r="AO25" i="51"/>
  <c r="Y20" i="50"/>
  <c r="Y36" i="50"/>
  <c r="AH24" i="50"/>
  <c r="AO32" i="50"/>
  <c r="X20" i="50"/>
  <c r="X36" i="50"/>
  <c r="X28" i="50"/>
  <c r="Y28" i="50"/>
  <c r="W41" i="50"/>
  <c r="AH16" i="50"/>
  <c r="AB40" i="50"/>
  <c r="AB48" i="50"/>
  <c r="AB16" i="50"/>
  <c r="AI33" i="50"/>
  <c r="AI25" i="50"/>
  <c r="AI17" i="50"/>
  <c r="AL34" i="50"/>
  <c r="AL26" i="50"/>
  <c r="AL18" i="50"/>
  <c r="W16" i="50"/>
  <c r="W48" i="50"/>
  <c r="W24" i="50"/>
  <c r="W40" i="50"/>
  <c r="W32" i="50"/>
  <c r="AB35" i="50"/>
  <c r="AB27" i="50"/>
  <c r="AB19" i="50"/>
  <c r="AG35" i="50"/>
  <c r="AG19" i="50"/>
  <c r="AG27" i="50"/>
  <c r="AE31" i="50"/>
  <c r="AE23" i="50"/>
  <c r="AE15" i="50"/>
  <c r="W34" i="50"/>
  <c r="W26" i="50"/>
  <c r="W18" i="50"/>
  <c r="AI23" i="50"/>
  <c r="AI31" i="50"/>
  <c r="AI15" i="50"/>
  <c r="AD18" i="50"/>
  <c r="AD34" i="50"/>
  <c r="AD26" i="50"/>
  <c r="AM26" i="50"/>
  <c r="AM34" i="50"/>
  <c r="AM18" i="50"/>
  <c r="AN20" i="50"/>
  <c r="AN28" i="50"/>
  <c r="AN36" i="50"/>
  <c r="AL17" i="50"/>
  <c r="AL33" i="50"/>
  <c r="AL25" i="50"/>
  <c r="AH31" i="50"/>
  <c r="AH23" i="50"/>
  <c r="AH15" i="50"/>
  <c r="AG33" i="50"/>
  <c r="AG25" i="50"/>
  <c r="AG17" i="50"/>
  <c r="Z36" i="50"/>
  <c r="Z28" i="50"/>
  <c r="Z20" i="50"/>
  <c r="Y48" i="50"/>
  <c r="Y24" i="50"/>
  <c r="Y32" i="50"/>
  <c r="Y40" i="50"/>
  <c r="Y16" i="50"/>
  <c r="AJ15" i="50"/>
  <c r="AJ23" i="50"/>
  <c r="AJ31" i="50"/>
  <c r="X35" i="50"/>
  <c r="X27" i="50"/>
  <c r="X19" i="50"/>
  <c r="AC34" i="50"/>
  <c r="AC18" i="50"/>
  <c r="AC26" i="50"/>
  <c r="AN24" i="50"/>
  <c r="AN32" i="50"/>
  <c r="AN16" i="50"/>
  <c r="BA7" i="50"/>
  <c r="AT7" i="50"/>
  <c r="AJ33" i="50"/>
  <c r="AJ17" i="50"/>
  <c r="AJ25" i="50"/>
  <c r="Z35" i="50"/>
  <c r="Z19" i="50"/>
  <c r="Z27" i="50"/>
  <c r="AJ36" i="50"/>
  <c r="AJ28" i="50"/>
  <c r="AJ20" i="50"/>
  <c r="AD28" i="50"/>
  <c r="AD36" i="50"/>
  <c r="AD20" i="50"/>
  <c r="AM23" i="50"/>
  <c r="AM15" i="50"/>
  <c r="AM31" i="50"/>
  <c r="AD40" i="50"/>
  <c r="AD48" i="50"/>
  <c r="AD32" i="50"/>
  <c r="AD24" i="50"/>
  <c r="AD16" i="50"/>
  <c r="AM16" i="50"/>
  <c r="AM24" i="50"/>
  <c r="AM32" i="50"/>
  <c r="AH35" i="50"/>
  <c r="AH19" i="50"/>
  <c r="AH27" i="50"/>
  <c r="AI26" i="50"/>
  <c r="AI34" i="50"/>
  <c r="AI18" i="50"/>
  <c r="Y49" i="50"/>
  <c r="Y17" i="50"/>
  <c r="Y33" i="50"/>
  <c r="Y25" i="50"/>
  <c r="Y41" i="50"/>
  <c r="AD25" i="50"/>
  <c r="AD41" i="50"/>
  <c r="AD33" i="50"/>
  <c r="AD49" i="50"/>
  <c r="AD17" i="50"/>
  <c r="AJ34" i="50"/>
  <c r="AJ18" i="50"/>
  <c r="AJ26" i="50"/>
  <c r="AB15" i="50"/>
  <c r="AB39" i="50"/>
  <c r="AB47" i="50"/>
  <c r="AB31" i="50"/>
  <c r="AB23" i="50"/>
  <c r="W19" i="50"/>
  <c r="W27" i="50"/>
  <c r="W35" i="50"/>
  <c r="AE35" i="50"/>
  <c r="AE19" i="50"/>
  <c r="AE27" i="50"/>
  <c r="AC40" i="50"/>
  <c r="AC24" i="50"/>
  <c r="AC48" i="50"/>
  <c r="AC16" i="50"/>
  <c r="AC32" i="50"/>
  <c r="Z34" i="50"/>
  <c r="Z26" i="50"/>
  <c r="Z18" i="50"/>
  <c r="Z31" i="50"/>
  <c r="Z23" i="50"/>
  <c r="Z15" i="50"/>
  <c r="AO34" i="50"/>
  <c r="AO26" i="50"/>
  <c r="AO18" i="50"/>
  <c r="AG15" i="50"/>
  <c r="AG23" i="50"/>
  <c r="AG31" i="50"/>
  <c r="AB49" i="50"/>
  <c r="AB17" i="50"/>
  <c r="AB25" i="50"/>
  <c r="AB33" i="50"/>
  <c r="AB41" i="50"/>
  <c r="AN27" i="50"/>
  <c r="AN35" i="50"/>
  <c r="AN19" i="50"/>
  <c r="X47" i="50"/>
  <c r="X23" i="50"/>
  <c r="X39" i="50"/>
  <c r="X15" i="50"/>
  <c r="X31" i="50"/>
  <c r="Y27" i="50"/>
  <c r="Y35" i="50"/>
  <c r="Y19" i="50"/>
  <c r="AV8" i="50"/>
  <c r="AS8" i="50"/>
  <c r="AS7" i="51" l="1"/>
  <c r="AV7" i="51"/>
  <c r="AX8" i="50"/>
  <c r="AZ8" i="50" s="1"/>
  <c r="BB8" i="50" s="1"/>
  <c r="AU8" i="50"/>
  <c r="AS7" i="50"/>
  <c r="AV7" i="50"/>
  <c r="AX7" i="51" l="1"/>
  <c r="AZ7" i="51" s="1"/>
  <c r="BB7" i="51" s="1"/>
  <c r="AU7" i="51"/>
  <c r="AX7" i="50"/>
  <c r="AZ7" i="50" s="1"/>
  <c r="BB7" i="50" s="1"/>
  <c r="AU7" i="50"/>
  <c r="D6" i="44" l="1"/>
  <c r="D7" i="44"/>
  <c r="D8" i="44"/>
  <c r="D9" i="44"/>
  <c r="D5" i="44"/>
  <c r="C20" i="44"/>
  <c r="C21" i="44"/>
  <c r="C22" i="44"/>
  <c r="C23" i="44"/>
  <c r="C24" i="44"/>
  <c r="C28" i="44"/>
  <c r="C29" i="44"/>
  <c r="C30" i="44"/>
  <c r="C31" i="44"/>
  <c r="C32" i="44"/>
  <c r="D33" i="44"/>
  <c r="C33" i="44"/>
  <c r="D25" i="44"/>
  <c r="C25" i="44"/>
  <c r="D17" i="44"/>
  <c r="C17" i="44"/>
  <c r="D14" i="44" l="1"/>
  <c r="D15" i="44"/>
  <c r="D16" i="44"/>
  <c r="D12" i="44"/>
  <c r="D13" i="44"/>
  <c r="F8" i="39"/>
  <c r="F7" i="39"/>
  <c r="C7" i="39"/>
  <c r="C8" i="39" s="1"/>
  <c r="D29" i="44" l="1"/>
  <c r="C16" i="44"/>
  <c r="C15" i="44"/>
  <c r="C14" i="44"/>
  <c r="C13" i="44"/>
  <c r="C12" i="44"/>
  <c r="C6" i="44"/>
  <c r="C7" i="44"/>
  <c r="C8" i="44"/>
  <c r="C9" i="44"/>
  <c r="C5" i="44"/>
  <c r="D24" i="44"/>
  <c r="D23" i="44"/>
  <c r="D22" i="44"/>
  <c r="D21" i="44"/>
  <c r="D20" i="44"/>
  <c r="D30" i="44"/>
  <c r="D31" i="44"/>
  <c r="D32" i="44"/>
  <c r="D28" i="44"/>
  <c r="D18" i="49" l="1"/>
  <c r="E18" i="49"/>
  <c r="D19" i="49"/>
  <c r="E19" i="49"/>
  <c r="D20" i="49"/>
  <c r="E20" i="49"/>
  <c r="E17" i="49"/>
  <c r="D17" i="49"/>
  <c r="E14" i="49"/>
  <c r="D14" i="49"/>
  <c r="E13" i="49"/>
  <c r="D13" i="49"/>
  <c r="E12" i="49"/>
  <c r="D12" i="49"/>
  <c r="E11" i="49"/>
  <c r="D11" i="49"/>
  <c r="D6" i="49"/>
  <c r="E6" i="49"/>
  <c r="D7" i="49"/>
  <c r="E7" i="49"/>
  <c r="D8" i="49"/>
  <c r="E8" i="49"/>
  <c r="E5" i="49"/>
  <c r="D5" i="49"/>
  <c r="D18" i="46"/>
  <c r="E18" i="46"/>
  <c r="D19" i="46"/>
  <c r="E19" i="46"/>
  <c r="D20" i="46"/>
  <c r="E20" i="46"/>
  <c r="E17" i="46"/>
  <c r="D17" i="46"/>
  <c r="D12" i="46"/>
  <c r="E12" i="46"/>
  <c r="D13" i="46"/>
  <c r="E13" i="46"/>
  <c r="D14" i="46"/>
  <c r="E14" i="46"/>
  <c r="E11" i="46"/>
  <c r="D11" i="46"/>
  <c r="D6" i="46"/>
  <c r="E6" i="46"/>
  <c r="D7" i="46"/>
  <c r="E7" i="46"/>
  <c r="D8" i="46"/>
  <c r="E8" i="46"/>
  <c r="E5" i="46"/>
  <c r="D5" i="46"/>
  <c r="D6" i="45"/>
  <c r="E6" i="45"/>
  <c r="D7" i="45"/>
  <c r="E7" i="45"/>
  <c r="D8" i="45"/>
  <c r="E8" i="45"/>
  <c r="E5" i="45"/>
  <c r="D5" i="45"/>
  <c r="E14" i="45"/>
  <c r="D14" i="45"/>
  <c r="E13" i="45"/>
  <c r="D13" i="45"/>
  <c r="E12" i="45"/>
  <c r="D12" i="45"/>
  <c r="E11" i="45"/>
  <c r="D11" i="45"/>
  <c r="D20" i="45"/>
  <c r="D19" i="45"/>
  <c r="D18" i="45"/>
  <c r="D17" i="45"/>
  <c r="E19" i="45"/>
  <c r="E18" i="45"/>
  <c r="E17" i="45"/>
  <c r="E20" i="45"/>
  <c r="E18" i="47" l="1"/>
  <c r="D18" i="47"/>
  <c r="D19" i="47"/>
  <c r="E19" i="47"/>
  <c r="D20" i="47"/>
  <c r="E20" i="47"/>
  <c r="E17" i="47"/>
  <c r="D17" i="47"/>
  <c r="G17" i="47" s="1"/>
  <c r="AQ17" i="47" s="1"/>
  <c r="D12" i="47"/>
  <c r="E12" i="47"/>
  <c r="D13" i="47"/>
  <c r="Y13" i="47" s="1"/>
  <c r="E13" i="47"/>
  <c r="AC13" i="47" s="1"/>
  <c r="AF13" i="47" s="1"/>
  <c r="D14" i="47"/>
  <c r="E14" i="47"/>
  <c r="E11" i="47"/>
  <c r="AC11" i="47" s="1"/>
  <c r="AF11" i="47" s="1"/>
  <c r="D11" i="47"/>
  <c r="Y11" i="47"/>
  <c r="E7" i="47"/>
  <c r="D5" i="47"/>
  <c r="D6" i="47"/>
  <c r="AB6" i="47" s="1"/>
  <c r="AE6" i="47" s="1"/>
  <c r="E6" i="47"/>
  <c r="D7" i="47"/>
  <c r="D8" i="47"/>
  <c r="E8" i="47"/>
  <c r="E5" i="47"/>
  <c r="AF39" i="49"/>
  <c r="AC39" i="49"/>
  <c r="AB39" i="49"/>
  <c r="AE39" i="49" s="1"/>
  <c r="Z39" i="49"/>
  <c r="AI39" i="49" s="1"/>
  <c r="Y39" i="49"/>
  <c r="AH39" i="49" s="1"/>
  <c r="W39" i="49"/>
  <c r="AX39" i="49" s="1"/>
  <c r="V39" i="49"/>
  <c r="AW39" i="49" s="1"/>
  <c r="P39" i="49"/>
  <c r="N39" i="49"/>
  <c r="AL39" i="49" s="1"/>
  <c r="M39" i="49"/>
  <c r="AK39" i="49" s="1"/>
  <c r="J39" i="49"/>
  <c r="H39" i="49"/>
  <c r="K39" i="49" s="1"/>
  <c r="G39" i="49"/>
  <c r="AQ39" i="49" s="1"/>
  <c r="V20" i="49"/>
  <c r="Y18" i="49"/>
  <c r="W18" i="49"/>
  <c r="V18" i="49"/>
  <c r="Y17" i="49"/>
  <c r="W17" i="49"/>
  <c r="W14" i="49"/>
  <c r="G14" i="49"/>
  <c r="W13" i="49"/>
  <c r="Y12" i="49"/>
  <c r="W12" i="49"/>
  <c r="V12" i="49"/>
  <c r="Y11" i="49"/>
  <c r="W11" i="49"/>
  <c r="Z7" i="49"/>
  <c r="Y7" i="49"/>
  <c r="W7" i="49"/>
  <c r="V7" i="49"/>
  <c r="H7" i="49"/>
  <c r="AR7" i="49" s="1"/>
  <c r="AC6" i="49"/>
  <c r="AF6" i="49" s="1"/>
  <c r="Z6" i="49"/>
  <c r="AI6" i="49" s="1"/>
  <c r="Y6" i="49"/>
  <c r="W6" i="49"/>
  <c r="V6" i="49"/>
  <c r="H6" i="49"/>
  <c r="AR6" i="49" s="1"/>
  <c r="G6" i="49"/>
  <c r="J6" i="49" s="1"/>
  <c r="AC5" i="49"/>
  <c r="AF5" i="49" s="1"/>
  <c r="AB18" i="47"/>
  <c r="AE18" i="47" s="1"/>
  <c r="Y19" i="47"/>
  <c r="AC19" i="47"/>
  <c r="AF19" i="47" s="1"/>
  <c r="AC17" i="47"/>
  <c r="AF17" i="47" s="1"/>
  <c r="Y14" i="47"/>
  <c r="N14" i="47"/>
  <c r="Q14" i="47" s="1"/>
  <c r="V6" i="47"/>
  <c r="AB7" i="47"/>
  <c r="AE7" i="47" s="1"/>
  <c r="AC7" i="47"/>
  <c r="AF7" i="47" s="1"/>
  <c r="Z5" i="47"/>
  <c r="G5" i="47"/>
  <c r="AQ5" i="47" s="1"/>
  <c r="AC39" i="47"/>
  <c r="AF39" i="47" s="1"/>
  <c r="AB39" i="47"/>
  <c r="AE39" i="47" s="1"/>
  <c r="Z39" i="47"/>
  <c r="Y39" i="47"/>
  <c r="W39" i="47"/>
  <c r="V39" i="47"/>
  <c r="N39" i="47"/>
  <c r="AL39" i="47" s="1"/>
  <c r="M39" i="47"/>
  <c r="J39" i="47"/>
  <c r="H39" i="47"/>
  <c r="G39" i="47"/>
  <c r="AQ39" i="47" s="1"/>
  <c r="Y20" i="47"/>
  <c r="V20" i="47"/>
  <c r="G20" i="47"/>
  <c r="V12" i="47"/>
  <c r="V11" i="47"/>
  <c r="G11" i="47"/>
  <c r="N8" i="47"/>
  <c r="Q8" i="47" s="1"/>
  <c r="G8" i="47"/>
  <c r="Y5" i="47"/>
  <c r="V5" i="47"/>
  <c r="C5" i="43"/>
  <c r="V17" i="47" l="1"/>
  <c r="AW17" i="47" s="1"/>
  <c r="AB13" i="47"/>
  <c r="AE13" i="47" s="1"/>
  <c r="G6" i="47"/>
  <c r="AQ6" i="47" s="1"/>
  <c r="Y6" i="47"/>
  <c r="AH6" i="47" s="1"/>
  <c r="J14" i="49"/>
  <c r="AQ14" i="49"/>
  <c r="M13" i="49"/>
  <c r="AB13" i="49"/>
  <c r="AE13" i="49" s="1"/>
  <c r="M19" i="49"/>
  <c r="AB19" i="49"/>
  <c r="AE19" i="49" s="1"/>
  <c r="AC19" i="49"/>
  <c r="AF19" i="49" s="1"/>
  <c r="N19" i="49"/>
  <c r="Z19" i="49"/>
  <c r="H19" i="49"/>
  <c r="M8" i="49"/>
  <c r="AB8" i="49"/>
  <c r="AE8" i="49" s="1"/>
  <c r="AC20" i="49"/>
  <c r="AF20" i="49" s="1"/>
  <c r="N20" i="49"/>
  <c r="Z20" i="49"/>
  <c r="AI20" i="49" s="1"/>
  <c r="H20" i="49"/>
  <c r="V19" i="49"/>
  <c r="M11" i="49"/>
  <c r="AB11" i="49"/>
  <c r="AE11" i="49" s="1"/>
  <c r="M17" i="49"/>
  <c r="AB17" i="49"/>
  <c r="AE17" i="49" s="1"/>
  <c r="W19" i="49"/>
  <c r="AX19" i="49" s="1"/>
  <c r="M5" i="49"/>
  <c r="AB5" i="49"/>
  <c r="AE5" i="49" s="1"/>
  <c r="AO6" i="49"/>
  <c r="AU6" i="49" s="1"/>
  <c r="AC13" i="49"/>
  <c r="AF13" i="49" s="1"/>
  <c r="AX13" i="49"/>
  <c r="N13" i="49"/>
  <c r="Z13" i="49"/>
  <c r="H13" i="49"/>
  <c r="N5" i="49"/>
  <c r="K6" i="49"/>
  <c r="G13" i="49"/>
  <c r="M14" i="49"/>
  <c r="AB14" i="49"/>
  <c r="AE14" i="49" s="1"/>
  <c r="H5" i="49"/>
  <c r="AC8" i="49"/>
  <c r="AF8" i="49" s="1"/>
  <c r="N8" i="49"/>
  <c r="Z8" i="49"/>
  <c r="H8" i="49"/>
  <c r="G8" i="49"/>
  <c r="V13" i="49"/>
  <c r="G20" i="49"/>
  <c r="AW7" i="49"/>
  <c r="M7" i="49"/>
  <c r="AB7" i="49"/>
  <c r="AE7" i="49" s="1"/>
  <c r="AC11" i="49"/>
  <c r="AF11" i="49" s="1"/>
  <c r="AX11" i="49"/>
  <c r="N11" i="49"/>
  <c r="Z11" i="49"/>
  <c r="AI11" i="49" s="1"/>
  <c r="H11" i="49"/>
  <c r="Y13" i="49"/>
  <c r="AC17" i="49"/>
  <c r="AF17" i="49" s="1"/>
  <c r="AX17" i="49"/>
  <c r="N17" i="49"/>
  <c r="Z17" i="49"/>
  <c r="H17" i="49"/>
  <c r="Y19" i="49"/>
  <c r="BA39" i="49"/>
  <c r="BD39" i="49" s="1"/>
  <c r="AN39" i="49"/>
  <c r="AT39" i="49" s="1"/>
  <c r="V5" i="49"/>
  <c r="AW5" i="49" s="1"/>
  <c r="AC7" i="49"/>
  <c r="AF7" i="49" s="1"/>
  <c r="AX7" i="49"/>
  <c r="N7" i="49"/>
  <c r="V8" i="49"/>
  <c r="G11" i="49"/>
  <c r="V14" i="49"/>
  <c r="G17" i="49"/>
  <c r="AO39" i="49"/>
  <c r="AU39" i="49" s="1"/>
  <c r="W5" i="49"/>
  <c r="AX5" i="49" s="1"/>
  <c r="G7" i="49"/>
  <c r="W8" i="49"/>
  <c r="AX8" i="49" s="1"/>
  <c r="AW12" i="49"/>
  <c r="M12" i="49"/>
  <c r="AB12" i="49"/>
  <c r="AE12" i="49" s="1"/>
  <c r="AW18" i="49"/>
  <c r="M18" i="49"/>
  <c r="AB18" i="49"/>
  <c r="AE18" i="49" s="1"/>
  <c r="W20" i="49"/>
  <c r="S39" i="49"/>
  <c r="AQ6" i="49"/>
  <c r="G19" i="49"/>
  <c r="G5" i="49"/>
  <c r="AW20" i="49"/>
  <c r="M20" i="49"/>
  <c r="AB20" i="49"/>
  <c r="AE20" i="49" s="1"/>
  <c r="AC14" i="49"/>
  <c r="AF14" i="49" s="1"/>
  <c r="AX14" i="49"/>
  <c r="N14" i="49"/>
  <c r="Z14" i="49"/>
  <c r="H14" i="49"/>
  <c r="Y5" i="49"/>
  <c r="M6" i="49"/>
  <c r="AW6" i="49"/>
  <c r="AB6" i="49"/>
  <c r="AE6" i="49" s="1"/>
  <c r="Y8" i="49"/>
  <c r="AC12" i="49"/>
  <c r="AF12" i="49" s="1"/>
  <c r="AX12" i="49"/>
  <c r="N12" i="49"/>
  <c r="Z12" i="49"/>
  <c r="AI12" i="49" s="1"/>
  <c r="H12" i="49"/>
  <c r="Y14" i="49"/>
  <c r="AC18" i="49"/>
  <c r="AF18" i="49" s="1"/>
  <c r="AX18" i="49"/>
  <c r="N18" i="49"/>
  <c r="Z18" i="49"/>
  <c r="H18" i="49"/>
  <c r="Y20" i="49"/>
  <c r="T39" i="49"/>
  <c r="AR39" i="49"/>
  <c r="Z5" i="49"/>
  <c r="AI5" i="49" s="1"/>
  <c r="AX6" i="49"/>
  <c r="N6" i="49"/>
  <c r="K7" i="49"/>
  <c r="V11" i="49"/>
  <c r="G12" i="49"/>
  <c r="V17" i="49"/>
  <c r="AW17" i="49" s="1"/>
  <c r="G18" i="49"/>
  <c r="Q39" i="49"/>
  <c r="V18" i="47"/>
  <c r="AW18" i="47" s="1"/>
  <c r="G18" i="47"/>
  <c r="AQ18" i="47" s="1"/>
  <c r="Y18" i="47"/>
  <c r="AH18" i="47" s="1"/>
  <c r="H17" i="47"/>
  <c r="AR17" i="47" s="1"/>
  <c r="N17" i="47"/>
  <c r="Q17" i="47" s="1"/>
  <c r="W17" i="47"/>
  <c r="AX17" i="47" s="1"/>
  <c r="Z17" i="47"/>
  <c r="AI17" i="47" s="1"/>
  <c r="Y17" i="47"/>
  <c r="H11" i="47"/>
  <c r="AR11" i="47" s="1"/>
  <c r="N11" i="47"/>
  <c r="Q11" i="47" s="1"/>
  <c r="W11" i="47"/>
  <c r="AX11" i="47" s="1"/>
  <c r="Z11" i="47"/>
  <c r="AI11" i="47" s="1"/>
  <c r="AO11" i="47" s="1"/>
  <c r="AU11" i="47" s="1"/>
  <c r="W7" i="47"/>
  <c r="AC5" i="47"/>
  <c r="AF5" i="47" s="1"/>
  <c r="W5" i="47"/>
  <c r="AX5" i="47" s="1"/>
  <c r="H5" i="47"/>
  <c r="AR5" i="47" s="1"/>
  <c r="N5" i="47"/>
  <c r="Q5" i="47" s="1"/>
  <c r="AQ11" i="47"/>
  <c r="J11" i="47"/>
  <c r="K17" i="47"/>
  <c r="G12" i="47"/>
  <c r="W8" i="47"/>
  <c r="AX8" i="47" s="1"/>
  <c r="Y12" i="47"/>
  <c r="Y8" i="47"/>
  <c r="AB12" i="47"/>
  <c r="AE12" i="47" s="1"/>
  <c r="W14" i="47"/>
  <c r="AX14" i="47" s="1"/>
  <c r="Z8" i="47"/>
  <c r="G7" i="47"/>
  <c r="AL8" i="47"/>
  <c r="Z14" i="47"/>
  <c r="G19" i="47"/>
  <c r="AQ19" i="47" s="1"/>
  <c r="V7" i="47"/>
  <c r="AW7" i="47" s="1"/>
  <c r="AL14" i="47"/>
  <c r="V19" i="47"/>
  <c r="AW19" i="47" s="1"/>
  <c r="G13" i="47"/>
  <c r="Y7" i="47"/>
  <c r="AH7" i="47" s="1"/>
  <c r="V13" i="47"/>
  <c r="AR39" i="47"/>
  <c r="K39" i="47"/>
  <c r="AZ39" i="47"/>
  <c r="BC39" i="47" s="1"/>
  <c r="J5" i="47"/>
  <c r="Z13" i="47"/>
  <c r="AI13" i="47" s="1"/>
  <c r="N13" i="47"/>
  <c r="H13" i="47"/>
  <c r="N19" i="47"/>
  <c r="Z19" i="47"/>
  <c r="AI19" i="47" s="1"/>
  <c r="W19" i="47"/>
  <c r="H19" i="47"/>
  <c r="H18" i="47"/>
  <c r="AC18" i="47"/>
  <c r="AF18" i="47" s="1"/>
  <c r="Z18" i="47"/>
  <c r="W18" i="47"/>
  <c r="AX18" i="47" s="1"/>
  <c r="N18" i="47"/>
  <c r="H12" i="47"/>
  <c r="AC12" i="47"/>
  <c r="AF12" i="47" s="1"/>
  <c r="Z12" i="47"/>
  <c r="W12" i="47"/>
  <c r="N12" i="47"/>
  <c r="N20" i="47"/>
  <c r="Z20" i="47"/>
  <c r="W20" i="47"/>
  <c r="AX20" i="47" s="1"/>
  <c r="H20" i="47"/>
  <c r="AQ20" i="47"/>
  <c r="J20" i="47"/>
  <c r="J17" i="47"/>
  <c r="H6" i="47"/>
  <c r="AC6" i="47"/>
  <c r="AF6" i="47" s="1"/>
  <c r="Z6" i="47"/>
  <c r="W6" i="47"/>
  <c r="AX6" i="47" s="1"/>
  <c r="N6" i="47"/>
  <c r="Z7" i="47"/>
  <c r="AI7" i="47" s="1"/>
  <c r="N7" i="47"/>
  <c r="H7" i="47"/>
  <c r="AQ8" i="47"/>
  <c r="J8" i="47"/>
  <c r="W13" i="47"/>
  <c r="AC20" i="47"/>
  <c r="AF20" i="47" s="1"/>
  <c r="M14" i="47"/>
  <c r="AB14" i="47"/>
  <c r="AE14" i="47" s="1"/>
  <c r="AC8" i="47"/>
  <c r="AF8" i="47" s="1"/>
  <c r="M8" i="47"/>
  <c r="AB8" i="47"/>
  <c r="AE8" i="47" s="1"/>
  <c r="AK39" i="47"/>
  <c r="S39" i="47" s="1"/>
  <c r="P39" i="47"/>
  <c r="G14" i="47"/>
  <c r="AC14" i="47"/>
  <c r="AF14" i="47" s="1"/>
  <c r="T39" i="47"/>
  <c r="AW5" i="47"/>
  <c r="M5" i="47"/>
  <c r="H8" i="47"/>
  <c r="AW11" i="47"/>
  <c r="M11" i="47"/>
  <c r="H14" i="47"/>
  <c r="M17" i="47"/>
  <c r="AW39" i="47"/>
  <c r="AN39" i="47"/>
  <c r="AT39" i="47" s="1"/>
  <c r="AB5" i="47"/>
  <c r="AE5" i="47" s="1"/>
  <c r="AB11" i="47"/>
  <c r="AE11" i="47" s="1"/>
  <c r="AB17" i="47"/>
  <c r="AE17" i="47" s="1"/>
  <c r="AX39" i="47"/>
  <c r="AO39" i="47"/>
  <c r="AU39" i="47" s="1"/>
  <c r="AH39" i="47"/>
  <c r="AW6" i="47"/>
  <c r="M6" i="47"/>
  <c r="AW12" i="47"/>
  <c r="M12" i="47"/>
  <c r="M18" i="47"/>
  <c r="AI39" i="47"/>
  <c r="M7" i="47"/>
  <c r="V8" i="47"/>
  <c r="AW8" i="47" s="1"/>
  <c r="M13" i="47"/>
  <c r="V14" i="47"/>
  <c r="M19" i="47"/>
  <c r="AB19" i="47"/>
  <c r="AE19" i="47" s="1"/>
  <c r="AW20" i="47"/>
  <c r="M20" i="47"/>
  <c r="AB20" i="47"/>
  <c r="AE20" i="47" s="1"/>
  <c r="Q39" i="47"/>
  <c r="Y5" i="46"/>
  <c r="AF39" i="46"/>
  <c r="AC39" i="46"/>
  <c r="AB39" i="46"/>
  <c r="AE39" i="46" s="1"/>
  <c r="Z39" i="46"/>
  <c r="AI39" i="46" s="1"/>
  <c r="Y39" i="46"/>
  <c r="AH39" i="46" s="1"/>
  <c r="W39" i="46"/>
  <c r="AX39" i="46" s="1"/>
  <c r="V39" i="46"/>
  <c r="AW39" i="46" s="1"/>
  <c r="N39" i="46"/>
  <c r="AL39" i="46" s="1"/>
  <c r="T39" i="46" s="1"/>
  <c r="M39" i="46"/>
  <c r="AK39" i="46" s="1"/>
  <c r="S39" i="46" s="1"/>
  <c r="H39" i="46"/>
  <c r="K39" i="46" s="1"/>
  <c r="G39" i="46"/>
  <c r="AQ39" i="46" s="1"/>
  <c r="W20" i="46"/>
  <c r="V19" i="46"/>
  <c r="AC17" i="46"/>
  <c r="AF17" i="46" s="1"/>
  <c r="V17" i="46"/>
  <c r="AC11" i="46"/>
  <c r="AF11" i="46" s="1"/>
  <c r="W8" i="46"/>
  <c r="G8" i="46"/>
  <c r="AC7" i="46"/>
  <c r="AF7" i="46" s="1"/>
  <c r="AC6" i="46"/>
  <c r="AF6" i="46" s="1"/>
  <c r="G6" i="46"/>
  <c r="AC5" i="46"/>
  <c r="AF5" i="46" s="1"/>
  <c r="AI18" i="49" l="1"/>
  <c r="AO18" i="49" s="1"/>
  <c r="AU18" i="49" s="1"/>
  <c r="AH20" i="49"/>
  <c r="AI19" i="49"/>
  <c r="AO20" i="49"/>
  <c r="AU20" i="49" s="1"/>
  <c r="AI17" i="49"/>
  <c r="AO17" i="49" s="1"/>
  <c r="AU17" i="49" s="1"/>
  <c r="AH17" i="49"/>
  <c r="AH14" i="49"/>
  <c r="AN14" i="49" s="1"/>
  <c r="AO12" i="49"/>
  <c r="AU12" i="49" s="1"/>
  <c r="AH13" i="49"/>
  <c r="AN13" i="49" s="1"/>
  <c r="AT13" i="49" s="1"/>
  <c r="AI13" i="49"/>
  <c r="AO13" i="49" s="1"/>
  <c r="AU13" i="49" s="1"/>
  <c r="AH11" i="49"/>
  <c r="AN11" i="49" s="1"/>
  <c r="AT11" i="49" s="1"/>
  <c r="AH7" i="49"/>
  <c r="AN7" i="49" s="1"/>
  <c r="AT7" i="49" s="1"/>
  <c r="AI8" i="49"/>
  <c r="AO8" i="49" s="1"/>
  <c r="AU8" i="49" s="1"/>
  <c r="AH8" i="49"/>
  <c r="AN8" i="49" s="1"/>
  <c r="AT8" i="49" s="1"/>
  <c r="AI7" i="49"/>
  <c r="AO7" i="49" s="1"/>
  <c r="AU7" i="49" s="1"/>
  <c r="AI18" i="47"/>
  <c r="AN18" i="47"/>
  <c r="AT18" i="47" s="1"/>
  <c r="AO17" i="47"/>
  <c r="AU17" i="47" s="1"/>
  <c r="AN13" i="47"/>
  <c r="AT13" i="47" s="1"/>
  <c r="AW13" i="47"/>
  <c r="AH13" i="47"/>
  <c r="K11" i="47"/>
  <c r="BA11" i="47" s="1"/>
  <c r="BD11" i="47" s="1"/>
  <c r="AO7" i="47"/>
  <c r="AU7" i="47" s="1"/>
  <c r="J6" i="47"/>
  <c r="AZ6" i="47" s="1"/>
  <c r="BC6" i="47" s="1"/>
  <c r="AN6" i="47"/>
  <c r="AT6" i="47" s="1"/>
  <c r="AI5" i="47"/>
  <c r="AO5" i="47" s="1"/>
  <c r="AU5" i="47" s="1"/>
  <c r="Q14" i="49"/>
  <c r="AL14" i="49"/>
  <c r="T14" i="49" s="1"/>
  <c r="P14" i="49"/>
  <c r="AK14" i="49"/>
  <c r="S14" i="49" s="1"/>
  <c r="Q12" i="49"/>
  <c r="AL12" i="49"/>
  <c r="T12" i="49" s="1"/>
  <c r="Q17" i="49"/>
  <c r="AL17" i="49"/>
  <c r="T17" i="49" s="1"/>
  <c r="J20" i="49"/>
  <c r="AZ20" i="49" s="1"/>
  <c r="BC20" i="49" s="1"/>
  <c r="AQ20" i="49"/>
  <c r="P18" i="49"/>
  <c r="AK18" i="49"/>
  <c r="S18" i="49" s="1"/>
  <c r="J11" i="49"/>
  <c r="AQ11" i="49"/>
  <c r="J13" i="49"/>
  <c r="AQ13" i="49"/>
  <c r="J8" i="49"/>
  <c r="AQ8" i="49"/>
  <c r="BA6" i="49"/>
  <c r="BD6" i="49" s="1"/>
  <c r="Q7" i="49"/>
  <c r="AL7" i="49"/>
  <c r="T7" i="49" s="1"/>
  <c r="Q5" i="49"/>
  <c r="AL5" i="49"/>
  <c r="T5" i="49" s="1"/>
  <c r="K18" i="49"/>
  <c r="AR18" i="49"/>
  <c r="P20" i="49"/>
  <c r="AK20" i="49"/>
  <c r="S20" i="49" s="1"/>
  <c r="K11" i="49"/>
  <c r="AR11" i="49"/>
  <c r="AO19" i="49"/>
  <c r="AU19" i="49" s="1"/>
  <c r="P19" i="49"/>
  <c r="AK19" i="49"/>
  <c r="S19" i="49" s="1"/>
  <c r="AN17" i="49"/>
  <c r="AT17" i="49" s="1"/>
  <c r="Q18" i="49"/>
  <c r="AL18" i="49"/>
  <c r="T18" i="49" s="1"/>
  <c r="P6" i="49"/>
  <c r="AK6" i="49"/>
  <c r="S6" i="49" s="1"/>
  <c r="J5" i="49"/>
  <c r="AQ5" i="49"/>
  <c r="Q11" i="49"/>
  <c r="AL11" i="49"/>
  <c r="T11" i="49" s="1"/>
  <c r="Q8" i="49"/>
  <c r="AL8" i="49"/>
  <c r="T8" i="49" s="1"/>
  <c r="K13" i="49"/>
  <c r="BA13" i="49" s="1"/>
  <c r="BD13" i="49" s="1"/>
  <c r="AR13" i="49"/>
  <c r="P17" i="49"/>
  <c r="AK17" i="49"/>
  <c r="S17" i="49" s="1"/>
  <c r="AH12" i="49"/>
  <c r="AN12" i="49" s="1"/>
  <c r="AT12" i="49" s="1"/>
  <c r="AW19" i="49"/>
  <c r="AW14" i="49"/>
  <c r="K20" i="49"/>
  <c r="AR20" i="49"/>
  <c r="P5" i="49"/>
  <c r="AK5" i="49"/>
  <c r="S5" i="49" s="1"/>
  <c r="Q20" i="49"/>
  <c r="AL20" i="49"/>
  <c r="T20" i="49" s="1"/>
  <c r="J18" i="49"/>
  <c r="AQ18" i="49"/>
  <c r="J12" i="49"/>
  <c r="AQ12" i="49"/>
  <c r="AH6" i="49"/>
  <c r="AN6" i="49" s="1"/>
  <c r="AO5" i="49"/>
  <c r="AU5" i="49" s="1"/>
  <c r="Q13" i="49"/>
  <c r="AL13" i="49"/>
  <c r="T13" i="49" s="1"/>
  <c r="P13" i="49"/>
  <c r="AK13" i="49"/>
  <c r="S13" i="49" s="1"/>
  <c r="BA7" i="49"/>
  <c r="BD7" i="49" s="1"/>
  <c r="K14" i="49"/>
  <c r="AR14" i="49"/>
  <c r="AH19" i="49"/>
  <c r="AN19" i="49" s="1"/>
  <c r="AT19" i="49" s="1"/>
  <c r="K5" i="49"/>
  <c r="AR5" i="49"/>
  <c r="P11" i="49"/>
  <c r="AK11" i="49"/>
  <c r="S11" i="49" s="1"/>
  <c r="AW8" i="49"/>
  <c r="AW13" i="49"/>
  <c r="AO11" i="49"/>
  <c r="AU11" i="49" s="1"/>
  <c r="J17" i="49"/>
  <c r="AQ17" i="49"/>
  <c r="Q19" i="49"/>
  <c r="AL19" i="49"/>
  <c r="T19" i="49" s="1"/>
  <c r="AH18" i="49"/>
  <c r="AN18" i="49" s="1"/>
  <c r="AT18" i="49" s="1"/>
  <c r="P12" i="49"/>
  <c r="AK12" i="49"/>
  <c r="S12" i="49" s="1"/>
  <c r="K8" i="49"/>
  <c r="AR8" i="49"/>
  <c r="AX20" i="49"/>
  <c r="AH5" i="49"/>
  <c r="AN5" i="49" s="1"/>
  <c r="AT5" i="49" s="1"/>
  <c r="J19" i="49"/>
  <c r="AQ19" i="49"/>
  <c r="J7" i="49"/>
  <c r="AQ7" i="49"/>
  <c r="P8" i="49"/>
  <c r="AK8" i="49"/>
  <c r="S8" i="49" s="1"/>
  <c r="Q6" i="49"/>
  <c r="AL6" i="49"/>
  <c r="T6" i="49" s="1"/>
  <c r="K12" i="49"/>
  <c r="AR12" i="49"/>
  <c r="AI14" i="49"/>
  <c r="AO14" i="49" s="1"/>
  <c r="AU14" i="49" s="1"/>
  <c r="AZ39" i="49"/>
  <c r="BC39" i="49" s="1"/>
  <c r="K17" i="49"/>
  <c r="BA17" i="49" s="1"/>
  <c r="BD17" i="49" s="1"/>
  <c r="AR17" i="49"/>
  <c r="P7" i="49"/>
  <c r="AK7" i="49"/>
  <c r="S7" i="49" s="1"/>
  <c r="AW11" i="49"/>
  <c r="K19" i="49"/>
  <c r="AR19" i="49"/>
  <c r="AN20" i="49"/>
  <c r="AT20" i="49" s="1"/>
  <c r="J18" i="47"/>
  <c r="AZ18" i="47" s="1"/>
  <c r="BC18" i="47" s="1"/>
  <c r="AL17" i="47"/>
  <c r="T17" i="47" s="1"/>
  <c r="AI14" i="47"/>
  <c r="AO14" i="47" s="1"/>
  <c r="AU14" i="47" s="1"/>
  <c r="T14" i="47"/>
  <c r="AO13" i="47"/>
  <c r="AU13" i="47" s="1"/>
  <c r="AL11" i="47"/>
  <c r="T11" i="47" s="1"/>
  <c r="AH12" i="47"/>
  <c r="AN12" i="47" s="1"/>
  <c r="AI12" i="47"/>
  <c r="AO12" i="47" s="1"/>
  <c r="AU12" i="47" s="1"/>
  <c r="AX7" i="47"/>
  <c r="AN7" i="47"/>
  <c r="AT7" i="47" s="1"/>
  <c r="AL5" i="47"/>
  <c r="T5" i="47" s="1"/>
  <c r="K5" i="47"/>
  <c r="AQ12" i="47"/>
  <c r="J12" i="47"/>
  <c r="J19" i="47"/>
  <c r="J7" i="47"/>
  <c r="AZ7" i="47" s="1"/>
  <c r="BC7" i="47" s="1"/>
  <c r="AQ7" i="47"/>
  <c r="AH20" i="47"/>
  <c r="AN20" i="47" s="1"/>
  <c r="AT20" i="47" s="1"/>
  <c r="AH19" i="47"/>
  <c r="AN19" i="47" s="1"/>
  <c r="AT19" i="47" s="1"/>
  <c r="J13" i="47"/>
  <c r="AQ13" i="47"/>
  <c r="AI20" i="47"/>
  <c r="AO20" i="47" s="1"/>
  <c r="AU20" i="47" s="1"/>
  <c r="AO19" i="47"/>
  <c r="AU19" i="47" s="1"/>
  <c r="AT12" i="47"/>
  <c r="P19" i="47"/>
  <c r="AK19" i="47"/>
  <c r="S19" i="47" s="1"/>
  <c r="P11" i="47"/>
  <c r="AK11" i="47"/>
  <c r="S11" i="47" s="1"/>
  <c r="AR6" i="47"/>
  <c r="K6" i="47"/>
  <c r="P8" i="47"/>
  <c r="AK8" i="47"/>
  <c r="S8" i="47" s="1"/>
  <c r="AR13" i="47"/>
  <c r="K13" i="47"/>
  <c r="BA39" i="47"/>
  <c r="BD39" i="47" s="1"/>
  <c r="AR7" i="47"/>
  <c r="K7" i="47"/>
  <c r="AH17" i="47"/>
  <c r="AN17" i="47" s="1"/>
  <c r="AT17" i="47" s="1"/>
  <c r="AO18" i="47"/>
  <c r="AU18" i="47" s="1"/>
  <c r="AH14" i="47"/>
  <c r="AN14" i="47" s="1"/>
  <c r="AT14" i="47" s="1"/>
  <c r="AH8" i="47"/>
  <c r="AN8" i="47" s="1"/>
  <c r="AT8" i="47" s="1"/>
  <c r="Q20" i="47"/>
  <c r="AL20" i="47"/>
  <c r="T20" i="47" s="1"/>
  <c r="P5" i="47"/>
  <c r="AK5" i="47"/>
  <c r="S5" i="47" s="1"/>
  <c r="P12" i="47"/>
  <c r="AK12" i="47"/>
  <c r="S12" i="47" s="1"/>
  <c r="AX12" i="47"/>
  <c r="AR19" i="47"/>
  <c r="K19" i="47"/>
  <c r="AR8" i="47"/>
  <c r="K8" i="47"/>
  <c r="P13" i="47"/>
  <c r="AK13" i="47"/>
  <c r="S13" i="47" s="1"/>
  <c r="Q12" i="47"/>
  <c r="AL12" i="47"/>
  <c r="T12" i="47" s="1"/>
  <c r="P18" i="47"/>
  <c r="AK18" i="47"/>
  <c r="S18" i="47" s="1"/>
  <c r="P17" i="47"/>
  <c r="AK17" i="47"/>
  <c r="S17" i="47" s="1"/>
  <c r="AI8" i="47"/>
  <c r="AO8" i="47" s="1"/>
  <c r="AU8" i="47" s="1"/>
  <c r="Q6" i="47"/>
  <c r="AL6" i="47"/>
  <c r="T6" i="47" s="1"/>
  <c r="AR12" i="47"/>
  <c r="K12" i="47"/>
  <c r="T8" i="47"/>
  <c r="Q13" i="47"/>
  <c r="AL13" i="47"/>
  <c r="T13" i="47" s="1"/>
  <c r="Q7" i="47"/>
  <c r="AL7" i="47"/>
  <c r="T7" i="47" s="1"/>
  <c r="P7" i="47"/>
  <c r="AK7" i="47"/>
  <c r="S7" i="47" s="1"/>
  <c r="P14" i="47"/>
  <c r="AK14" i="47"/>
  <c r="S14" i="47" s="1"/>
  <c r="Q19" i="47"/>
  <c r="AL19" i="47"/>
  <c r="T19" i="47" s="1"/>
  <c r="AR18" i="47"/>
  <c r="K18" i="47"/>
  <c r="AH5" i="47"/>
  <c r="AN5" i="47" s="1"/>
  <c r="AT5" i="47" s="1"/>
  <c r="AX13" i="47"/>
  <c r="P6" i="47"/>
  <c r="AK6" i="47"/>
  <c r="S6" i="47" s="1"/>
  <c r="P20" i="47"/>
  <c r="AK20" i="47"/>
  <c r="S20" i="47" s="1"/>
  <c r="AQ14" i="47"/>
  <c r="J14" i="47"/>
  <c r="AR14" i="47"/>
  <c r="K14" i="47"/>
  <c r="AH11" i="47"/>
  <c r="AN11" i="47" s="1"/>
  <c r="AW14" i="47"/>
  <c r="AI6" i="47"/>
  <c r="AO6" i="47" s="1"/>
  <c r="AU6" i="47" s="1"/>
  <c r="AR20" i="47"/>
  <c r="K20" i="47"/>
  <c r="Q18" i="47"/>
  <c r="AL18" i="47"/>
  <c r="T18" i="47" s="1"/>
  <c r="AX19" i="47"/>
  <c r="BA39" i="46"/>
  <c r="BD39" i="46" s="1"/>
  <c r="AQ6" i="46"/>
  <c r="J6" i="46"/>
  <c r="AW7" i="46"/>
  <c r="AQ8" i="46"/>
  <c r="J8" i="46"/>
  <c r="AW18" i="46"/>
  <c r="AO39" i="46"/>
  <c r="AU39" i="46" s="1"/>
  <c r="V6" i="46"/>
  <c r="V7" i="46"/>
  <c r="V18" i="46"/>
  <c r="V20" i="46"/>
  <c r="AW20" i="46" s="1"/>
  <c r="AR39" i="46"/>
  <c r="AN39" i="46"/>
  <c r="AT39" i="46" s="1"/>
  <c r="V11" i="46"/>
  <c r="V12" i="46"/>
  <c r="AW12" i="46" s="1"/>
  <c r="V14" i="46"/>
  <c r="W5" i="46"/>
  <c r="AX5" i="46" s="1"/>
  <c r="Y7" i="46"/>
  <c r="G11" i="46"/>
  <c r="Y12" i="46"/>
  <c r="Y13" i="46"/>
  <c r="G14" i="46"/>
  <c r="Y18" i="46"/>
  <c r="G19" i="46"/>
  <c r="Y19" i="46"/>
  <c r="G20" i="46"/>
  <c r="Y20" i="46"/>
  <c r="V8" i="46"/>
  <c r="AW8" i="46" s="1"/>
  <c r="V13" i="46"/>
  <c r="AW13" i="46" s="1"/>
  <c r="W18" i="46"/>
  <c r="AX18" i="46" s="1"/>
  <c r="W19" i="46"/>
  <c r="G7" i="46"/>
  <c r="Y11" i="46"/>
  <c r="G13" i="46"/>
  <c r="Y17" i="46"/>
  <c r="G18" i="46"/>
  <c r="J39" i="46"/>
  <c r="AZ39" i="46" s="1"/>
  <c r="BC39" i="46" s="1"/>
  <c r="H5" i="46"/>
  <c r="Z5" i="46"/>
  <c r="AI5" i="46" s="1"/>
  <c r="H6" i="46"/>
  <c r="Z6" i="46"/>
  <c r="AI6" i="46" s="1"/>
  <c r="H7" i="46"/>
  <c r="Z7" i="46"/>
  <c r="AI7" i="46" s="1"/>
  <c r="H8" i="46"/>
  <c r="Z8" i="46"/>
  <c r="H11" i="46"/>
  <c r="Z11" i="46"/>
  <c r="AI11" i="46" s="1"/>
  <c r="H12" i="46"/>
  <c r="Z12" i="46"/>
  <c r="H13" i="46"/>
  <c r="Z13" i="46"/>
  <c r="AI13" i="46" s="1"/>
  <c r="H14" i="46"/>
  <c r="Z14" i="46"/>
  <c r="H17" i="46"/>
  <c r="Z17" i="46"/>
  <c r="AI17" i="46" s="1"/>
  <c r="H18" i="46"/>
  <c r="Z18" i="46"/>
  <c r="H19" i="46"/>
  <c r="Z19" i="46"/>
  <c r="H20" i="46"/>
  <c r="Z20" i="46"/>
  <c r="W12" i="46"/>
  <c r="AX12" i="46" s="1"/>
  <c r="W13" i="46"/>
  <c r="G5" i="46"/>
  <c r="G12" i="46"/>
  <c r="Y14" i="46"/>
  <c r="G17" i="46"/>
  <c r="AB5" i="46"/>
  <c r="AE5" i="46" s="1"/>
  <c r="AB6" i="46"/>
  <c r="AE6" i="46" s="1"/>
  <c r="AB7" i="46"/>
  <c r="AE7" i="46" s="1"/>
  <c r="AB8" i="46"/>
  <c r="AE8" i="46" s="1"/>
  <c r="AB11" i="46"/>
  <c r="AE11" i="46" s="1"/>
  <c r="AB12" i="46"/>
  <c r="AE12" i="46" s="1"/>
  <c r="AB13" i="46"/>
  <c r="AE13" i="46" s="1"/>
  <c r="AB14" i="46"/>
  <c r="AE14" i="46" s="1"/>
  <c r="AB17" i="46"/>
  <c r="AE17" i="46" s="1"/>
  <c r="AB18" i="46"/>
  <c r="AE18" i="46" s="1"/>
  <c r="AB19" i="46"/>
  <c r="AE19" i="46" s="1"/>
  <c r="AB20" i="46"/>
  <c r="AE20" i="46" s="1"/>
  <c r="W7" i="46"/>
  <c r="W14" i="46"/>
  <c r="AX14" i="46" s="1"/>
  <c r="W17" i="46"/>
  <c r="AX17" i="46" s="1"/>
  <c r="Y6" i="46"/>
  <c r="AH6" i="46" s="1"/>
  <c r="AC13" i="46"/>
  <c r="AF13" i="46" s="1"/>
  <c r="AC14" i="46"/>
  <c r="AF14" i="46" s="1"/>
  <c r="AC19" i="46"/>
  <c r="AF19" i="46" s="1"/>
  <c r="AC20" i="46"/>
  <c r="AF20" i="46" s="1"/>
  <c r="Y8" i="46"/>
  <c r="AC18" i="46"/>
  <c r="AF18" i="46" s="1"/>
  <c r="M5" i="46"/>
  <c r="M6" i="46"/>
  <c r="M7" i="46"/>
  <c r="M8" i="46"/>
  <c r="M11" i="46"/>
  <c r="M12" i="46"/>
  <c r="M13" i="46"/>
  <c r="M14" i="46"/>
  <c r="M17" i="46"/>
  <c r="AW17" i="46"/>
  <c r="M18" i="46"/>
  <c r="M19" i="46"/>
  <c r="AW19" i="46"/>
  <c r="M20" i="46"/>
  <c r="P39" i="46"/>
  <c r="AC8" i="46"/>
  <c r="AF8" i="46" s="1"/>
  <c r="AC12" i="46"/>
  <c r="AF12" i="46" s="1"/>
  <c r="N5" i="46"/>
  <c r="N6" i="46"/>
  <c r="N7" i="46"/>
  <c r="N8" i="46"/>
  <c r="AX8" i="46"/>
  <c r="N11" i="46"/>
  <c r="N12" i="46"/>
  <c r="N13" i="46"/>
  <c r="N14" i="46"/>
  <c r="N17" i="46"/>
  <c r="N18" i="46"/>
  <c r="N19" i="46"/>
  <c r="N20" i="46"/>
  <c r="AX20" i="46"/>
  <c r="Q39" i="46"/>
  <c r="W6" i="46"/>
  <c r="W11" i="46"/>
  <c r="V5" i="46"/>
  <c r="AW5" i="46" s="1"/>
  <c r="BA18" i="49" l="1"/>
  <c r="BD18" i="49" s="1"/>
  <c r="BA12" i="49"/>
  <c r="BD12" i="49" s="1"/>
  <c r="BA8" i="49"/>
  <c r="BD8" i="49" s="1"/>
  <c r="AO6" i="46"/>
  <c r="AU6" i="46" s="1"/>
  <c r="BA20" i="49"/>
  <c r="BD20" i="49" s="1"/>
  <c r="AZ17" i="49"/>
  <c r="BC17" i="49" s="1"/>
  <c r="AT14" i="49"/>
  <c r="AZ14" i="49"/>
  <c r="BC14" i="49" s="1"/>
  <c r="AZ13" i="49"/>
  <c r="BC13" i="49" s="1"/>
  <c r="AZ8" i="49"/>
  <c r="BC8" i="49" s="1"/>
  <c r="AZ19" i="47"/>
  <c r="BC19" i="47" s="1"/>
  <c r="BA17" i="47"/>
  <c r="BD17" i="47" s="1"/>
  <c r="AZ13" i="47"/>
  <c r="BC13" i="47" s="1"/>
  <c r="AZ12" i="47"/>
  <c r="BC12" i="47" s="1"/>
  <c r="BA7" i="47"/>
  <c r="BD7" i="47" s="1"/>
  <c r="BA5" i="49"/>
  <c r="BD5" i="49" s="1"/>
  <c r="AZ19" i="49"/>
  <c r="BC19" i="49" s="1"/>
  <c r="BA11" i="49"/>
  <c r="BD11" i="49" s="1"/>
  <c r="AZ12" i="49"/>
  <c r="BC12" i="49" s="1"/>
  <c r="AT6" i="49"/>
  <c r="AZ6" i="49"/>
  <c r="BC6" i="49" s="1"/>
  <c r="BA14" i="49"/>
  <c r="BD14" i="49" s="1"/>
  <c r="AZ11" i="49"/>
  <c r="BC11" i="49" s="1"/>
  <c r="BA19" i="49"/>
  <c r="BD19" i="49" s="1"/>
  <c r="AZ5" i="49"/>
  <c r="BC5" i="49" s="1"/>
  <c r="AZ7" i="49"/>
  <c r="BC7" i="49" s="1"/>
  <c r="AZ18" i="49"/>
  <c r="BC18" i="49" s="1"/>
  <c r="AZ20" i="47"/>
  <c r="BC20" i="47" s="1"/>
  <c r="BA13" i="47"/>
  <c r="BD13" i="47" s="1"/>
  <c r="BA12" i="47"/>
  <c r="BD12" i="47" s="1"/>
  <c r="BA5" i="47"/>
  <c r="BD5" i="47" s="1"/>
  <c r="BA19" i="47"/>
  <c r="BD19" i="47" s="1"/>
  <c r="BA6" i="47"/>
  <c r="BD6" i="47" s="1"/>
  <c r="AH20" i="46"/>
  <c r="AN20" i="46" s="1"/>
  <c r="AT20" i="46" s="1"/>
  <c r="AH18" i="46"/>
  <c r="AN18" i="46" s="1"/>
  <c r="AT18" i="46" s="1"/>
  <c r="AH19" i="46"/>
  <c r="AN19" i="46" s="1"/>
  <c r="AT19" i="46" s="1"/>
  <c r="AH17" i="46"/>
  <c r="AN17" i="46" s="1"/>
  <c r="AT17" i="46" s="1"/>
  <c r="AO13" i="46"/>
  <c r="AU13" i="46" s="1"/>
  <c r="AO11" i="46"/>
  <c r="AU11" i="46" s="1"/>
  <c r="AO7" i="46"/>
  <c r="AU7" i="46" s="1"/>
  <c r="AH7" i="46"/>
  <c r="AN7" i="46" s="1"/>
  <c r="AT7" i="46" s="1"/>
  <c r="BA14" i="47"/>
  <c r="BD14" i="47" s="1"/>
  <c r="AZ14" i="47"/>
  <c r="BC14" i="47" s="1"/>
  <c r="AZ5" i="47"/>
  <c r="BC5" i="47" s="1"/>
  <c r="AZ17" i="47"/>
  <c r="BC17" i="47" s="1"/>
  <c r="AT11" i="47"/>
  <c r="AZ11" i="47"/>
  <c r="BC11" i="47" s="1"/>
  <c r="AZ8" i="47"/>
  <c r="BC8" i="47" s="1"/>
  <c r="BA18" i="47"/>
  <c r="BD18" i="47" s="1"/>
  <c r="BA20" i="47"/>
  <c r="BD20" i="47" s="1"/>
  <c r="BA8" i="47"/>
  <c r="BD8" i="47" s="1"/>
  <c r="P13" i="46"/>
  <c r="AK13" i="46"/>
  <c r="S13" i="46" s="1"/>
  <c r="Q5" i="46"/>
  <c r="AL5" i="46"/>
  <c r="T5" i="46" s="1"/>
  <c r="K13" i="46"/>
  <c r="AR13" i="46"/>
  <c r="K5" i="46"/>
  <c r="AR5" i="46"/>
  <c r="J20" i="46"/>
  <c r="AQ20" i="46"/>
  <c r="Q13" i="46"/>
  <c r="AL13" i="46"/>
  <c r="T13" i="46" s="1"/>
  <c r="AI12" i="46"/>
  <c r="AO12" i="46" s="1"/>
  <c r="AU12" i="46" s="1"/>
  <c r="Q12" i="46"/>
  <c r="AL12" i="46"/>
  <c r="T12" i="46" s="1"/>
  <c r="K12" i="46"/>
  <c r="AR12" i="46"/>
  <c r="J19" i="46"/>
  <c r="AQ19" i="46"/>
  <c r="Q8" i="46"/>
  <c r="AL8" i="46"/>
  <c r="T8" i="46" s="1"/>
  <c r="P19" i="46"/>
  <c r="AK19" i="46"/>
  <c r="S19" i="46" s="1"/>
  <c r="P6" i="46"/>
  <c r="AK6" i="46"/>
  <c r="S6" i="46" s="1"/>
  <c r="K18" i="46"/>
  <c r="AR18" i="46"/>
  <c r="K8" i="46"/>
  <c r="AR8" i="46"/>
  <c r="J7" i="46"/>
  <c r="AQ7" i="46"/>
  <c r="AH12" i="46"/>
  <c r="AN12" i="46" s="1"/>
  <c r="AT12" i="46" s="1"/>
  <c r="AN6" i="46"/>
  <c r="AT6" i="46" s="1"/>
  <c r="Q20" i="46"/>
  <c r="AL20" i="46"/>
  <c r="T20" i="46" s="1"/>
  <c r="AX7" i="46"/>
  <c r="P18" i="46"/>
  <c r="AK18" i="46"/>
  <c r="S18" i="46" s="1"/>
  <c r="J17" i="46"/>
  <c r="AQ17" i="46"/>
  <c r="AQ11" i="46"/>
  <c r="J11" i="46"/>
  <c r="Q19" i="46"/>
  <c r="AL19" i="46"/>
  <c r="T19" i="46" s="1"/>
  <c r="Q7" i="46"/>
  <c r="AL7" i="46"/>
  <c r="T7" i="46" s="1"/>
  <c r="P5" i="46"/>
  <c r="AK5" i="46"/>
  <c r="S5" i="46" s="1"/>
  <c r="AH14" i="46"/>
  <c r="AN14" i="46" s="1"/>
  <c r="AT14" i="46" s="1"/>
  <c r="K17" i="46"/>
  <c r="AR17" i="46"/>
  <c r="K7" i="46"/>
  <c r="AR7" i="46"/>
  <c r="Q18" i="46"/>
  <c r="AL18" i="46"/>
  <c r="T18" i="46" s="1"/>
  <c r="AX6" i="46"/>
  <c r="P17" i="46"/>
  <c r="AK17" i="46"/>
  <c r="S17" i="46" s="1"/>
  <c r="J12" i="46"/>
  <c r="AQ12" i="46"/>
  <c r="AI14" i="46"/>
  <c r="AO14" i="46" s="1"/>
  <c r="AU14" i="46" s="1"/>
  <c r="AO5" i="46"/>
  <c r="AU5" i="46" s="1"/>
  <c r="Q6" i="46"/>
  <c r="AL6" i="46"/>
  <c r="T6" i="46" s="1"/>
  <c r="P14" i="46"/>
  <c r="AK14" i="46"/>
  <c r="S14" i="46" s="1"/>
  <c r="AH8" i="46"/>
  <c r="AN8" i="46" s="1"/>
  <c r="AT8" i="46" s="1"/>
  <c r="AQ5" i="46"/>
  <c r="J5" i="46"/>
  <c r="K14" i="46"/>
  <c r="AR14" i="46"/>
  <c r="K6" i="46"/>
  <c r="BA6" i="46" s="1"/>
  <c r="BD6" i="46" s="1"/>
  <c r="AR6" i="46"/>
  <c r="AX19" i="46"/>
  <c r="AW14" i="46"/>
  <c r="Q17" i="46"/>
  <c r="AL17" i="46"/>
  <c r="T17" i="46" s="1"/>
  <c r="P11" i="46"/>
  <c r="AK11" i="46"/>
  <c r="S11" i="46" s="1"/>
  <c r="AI20" i="46"/>
  <c r="AO20" i="46" s="1"/>
  <c r="AU20" i="46" s="1"/>
  <c r="Q14" i="46"/>
  <c r="AL14" i="46"/>
  <c r="T14" i="46" s="1"/>
  <c r="P12" i="46"/>
  <c r="AK12" i="46"/>
  <c r="S12" i="46" s="1"/>
  <c r="AW11" i="46"/>
  <c r="K20" i="46"/>
  <c r="AR20" i="46"/>
  <c r="J18" i="46"/>
  <c r="AQ18" i="46"/>
  <c r="AX13" i="46"/>
  <c r="AX11" i="46"/>
  <c r="P8" i="46"/>
  <c r="AK8" i="46"/>
  <c r="S8" i="46" s="1"/>
  <c r="AI19" i="46"/>
  <c r="AO19" i="46" s="1"/>
  <c r="AU19" i="46" s="1"/>
  <c r="Q11" i="46"/>
  <c r="AL11" i="46"/>
  <c r="T11" i="46" s="1"/>
  <c r="AK20" i="46"/>
  <c r="S20" i="46" s="1"/>
  <c r="P20" i="46"/>
  <c r="AK7" i="46"/>
  <c r="S7" i="46" s="1"/>
  <c r="P7" i="46"/>
  <c r="AO17" i="46"/>
  <c r="AU17" i="46" s="1"/>
  <c r="K19" i="46"/>
  <c r="AR19" i="46"/>
  <c r="K11" i="46"/>
  <c r="AR11" i="46"/>
  <c r="J13" i="46"/>
  <c r="AQ13" i="46"/>
  <c r="J14" i="46"/>
  <c r="AQ14" i="46"/>
  <c r="AH5" i="46"/>
  <c r="AN5" i="46" s="1"/>
  <c r="AT5" i="46" s="1"/>
  <c r="AW6" i="46"/>
  <c r="AI18" i="46"/>
  <c r="AO18" i="46" s="1"/>
  <c r="AU18" i="46" s="1"/>
  <c r="AI8" i="46"/>
  <c r="AO8" i="46" s="1"/>
  <c r="AU8" i="46" s="1"/>
  <c r="AH11" i="46"/>
  <c r="AN11" i="46" s="1"/>
  <c r="AT11" i="46" s="1"/>
  <c r="AH13" i="46"/>
  <c r="AN13" i="46" s="1"/>
  <c r="AT13" i="46" s="1"/>
  <c r="AZ18" i="46" l="1"/>
  <c r="BC18" i="46" s="1"/>
  <c r="AZ19" i="46"/>
  <c r="BC19" i="46" s="1"/>
  <c r="BA11" i="46"/>
  <c r="BD11" i="46" s="1"/>
  <c r="AZ6" i="46"/>
  <c r="BC6" i="46" s="1"/>
  <c r="AZ20" i="46"/>
  <c r="BC20" i="46" s="1"/>
  <c r="AZ17" i="46"/>
  <c r="BC17" i="46" s="1"/>
  <c r="BA13" i="46"/>
  <c r="BD13" i="46" s="1"/>
  <c r="AZ7" i="46"/>
  <c r="BC7" i="46" s="1"/>
  <c r="BA7" i="46"/>
  <c r="BD7" i="46" s="1"/>
  <c r="BA17" i="46"/>
  <c r="BD17" i="46" s="1"/>
  <c r="BA20" i="46"/>
  <c r="BD20" i="46" s="1"/>
  <c r="AZ14" i="46"/>
  <c r="BC14" i="46" s="1"/>
  <c r="AZ13" i="46"/>
  <c r="BC13" i="46" s="1"/>
  <c r="AZ11" i="46"/>
  <c r="BC11" i="46" s="1"/>
  <c r="BA5" i="46"/>
  <c r="BD5" i="46" s="1"/>
  <c r="BA19" i="46"/>
  <c r="BD19" i="46" s="1"/>
  <c r="BA8" i="46"/>
  <c r="BD8" i="46" s="1"/>
  <c r="BA12" i="46"/>
  <c r="BD12" i="46" s="1"/>
  <c r="BA18" i="46"/>
  <c r="BD18" i="46" s="1"/>
  <c r="AZ8" i="46"/>
  <c r="BC8" i="46" s="1"/>
  <c r="BA14" i="46"/>
  <c r="BD14" i="46" s="1"/>
  <c r="AZ12" i="46"/>
  <c r="BC12" i="46" s="1"/>
  <c r="AZ5" i="46"/>
  <c r="BC5" i="46" s="1"/>
  <c r="AX39" i="45" l="1"/>
  <c r="AW39" i="45"/>
  <c r="AH39" i="45"/>
  <c r="AE39" i="45"/>
  <c r="AC39" i="45"/>
  <c r="AF39" i="45" s="1"/>
  <c r="AB39" i="45"/>
  <c r="Z39" i="45"/>
  <c r="AI39" i="45" s="1"/>
  <c r="Y39" i="45"/>
  <c r="W39" i="45"/>
  <c r="V39" i="45"/>
  <c r="AN39" i="45" s="1"/>
  <c r="AT39" i="45" s="1"/>
  <c r="Q39" i="45"/>
  <c r="P39" i="45"/>
  <c r="N39" i="45"/>
  <c r="AL39" i="45" s="1"/>
  <c r="M39" i="45"/>
  <c r="AK39" i="45" s="1"/>
  <c r="S39" i="45" s="1"/>
  <c r="J39" i="45"/>
  <c r="H39" i="45"/>
  <c r="G39" i="45"/>
  <c r="AQ39" i="45" s="1"/>
  <c r="AC20" i="45"/>
  <c r="AF20" i="45" s="1"/>
  <c r="V20" i="45"/>
  <c r="AC19" i="45"/>
  <c r="AF19" i="45" s="1"/>
  <c r="Y19" i="45"/>
  <c r="W18" i="45"/>
  <c r="Y18" i="45"/>
  <c r="N17" i="45"/>
  <c r="G17" i="45"/>
  <c r="V14" i="45"/>
  <c r="N13" i="45"/>
  <c r="Y13" i="45"/>
  <c r="V12" i="45"/>
  <c r="N11" i="45"/>
  <c r="AB11" i="45"/>
  <c r="AE11" i="45" s="1"/>
  <c r="Y8" i="45"/>
  <c r="N7" i="45"/>
  <c r="Y7" i="45"/>
  <c r="Y6" i="45"/>
  <c r="W6" i="45"/>
  <c r="M6" i="45"/>
  <c r="AK6" i="45" s="1"/>
  <c r="Y5" i="45"/>
  <c r="N5" i="45"/>
  <c r="V5" i="45"/>
  <c r="V6" i="45" l="1"/>
  <c r="AW6" i="45" s="1"/>
  <c r="G13" i="45"/>
  <c r="AQ13" i="45" s="1"/>
  <c r="AB7" i="45"/>
  <c r="AE7" i="45" s="1"/>
  <c r="H13" i="45"/>
  <c r="AR13" i="45" s="1"/>
  <c r="W19" i="45"/>
  <c r="AX19" i="45" s="1"/>
  <c r="Z13" i="45"/>
  <c r="AC13" i="45"/>
  <c r="AF13" i="45" s="1"/>
  <c r="Z5" i="45"/>
  <c r="W5" i="45"/>
  <c r="AX5" i="45" s="1"/>
  <c r="AC11" i="45"/>
  <c r="AF11" i="45" s="1"/>
  <c r="AC17" i="45"/>
  <c r="AF17" i="45" s="1"/>
  <c r="N18" i="45"/>
  <c r="Q18" i="45" s="1"/>
  <c r="M20" i="45"/>
  <c r="AK20" i="45" s="1"/>
  <c r="AB5" i="45"/>
  <c r="AE5" i="45" s="1"/>
  <c r="M18" i="45"/>
  <c r="AK18" i="45" s="1"/>
  <c r="G20" i="45"/>
  <c r="AQ20" i="45" s="1"/>
  <c r="AC5" i="45"/>
  <c r="AF5" i="45" s="1"/>
  <c r="AC7" i="45"/>
  <c r="AF7" i="45" s="1"/>
  <c r="N12" i="45"/>
  <c r="W12" i="45"/>
  <c r="AX12" i="45" s="1"/>
  <c r="M14" i="45"/>
  <c r="AK14" i="45" s="1"/>
  <c r="S14" i="45" s="1"/>
  <c r="Y20" i="45"/>
  <c r="N14" i="45"/>
  <c r="AB20" i="45"/>
  <c r="AE20" i="45" s="1"/>
  <c r="N8" i="45"/>
  <c r="W14" i="45"/>
  <c r="AX14" i="45" s="1"/>
  <c r="N6" i="45"/>
  <c r="Q6" i="45" s="1"/>
  <c r="W8" i="45"/>
  <c r="AX8" i="45" s="1"/>
  <c r="Y14" i="45"/>
  <c r="H19" i="45"/>
  <c r="AR19" i="45" s="1"/>
  <c r="AX18" i="45"/>
  <c r="M5" i="45"/>
  <c r="AK5" i="45" s="1"/>
  <c r="AI13" i="45"/>
  <c r="Z19" i="45"/>
  <c r="AI19" i="45" s="1"/>
  <c r="Z7" i="45"/>
  <c r="AB13" i="45"/>
  <c r="AE13" i="45" s="1"/>
  <c r="AW5" i="45"/>
  <c r="J17" i="45"/>
  <c r="AQ17" i="45"/>
  <c r="Q11" i="45"/>
  <c r="AL11" i="45"/>
  <c r="AB8" i="45"/>
  <c r="AE8" i="45" s="1"/>
  <c r="G8" i="45"/>
  <c r="G11" i="45"/>
  <c r="J13" i="45"/>
  <c r="M17" i="45"/>
  <c r="Q7" i="45"/>
  <c r="AL7" i="45"/>
  <c r="H11" i="45"/>
  <c r="V17" i="45"/>
  <c r="H20" i="45"/>
  <c r="AB6" i="45"/>
  <c r="AE6" i="45" s="1"/>
  <c r="G6" i="45"/>
  <c r="G7" i="45"/>
  <c r="M12" i="45"/>
  <c r="M13" i="45"/>
  <c r="W17" i="45"/>
  <c r="V18" i="45"/>
  <c r="AW18" i="45" s="1"/>
  <c r="Q5" i="45"/>
  <c r="AL5" i="45"/>
  <c r="AX6" i="45"/>
  <c r="H7" i="45"/>
  <c r="V13" i="45"/>
  <c r="Y17" i="45"/>
  <c r="AB19" i="45"/>
  <c r="AE19" i="45" s="1"/>
  <c r="V19" i="45"/>
  <c r="N20" i="45"/>
  <c r="G5" i="45"/>
  <c r="M8" i="45"/>
  <c r="M11" i="45"/>
  <c r="W13" i="45"/>
  <c r="Z17" i="45"/>
  <c r="H5" i="45"/>
  <c r="V11" i="45"/>
  <c r="AB17" i="45"/>
  <c r="AE17" i="45" s="1"/>
  <c r="G19" i="45"/>
  <c r="W20" i="45"/>
  <c r="Q17" i="45"/>
  <c r="AL17" i="45"/>
  <c r="AW20" i="45"/>
  <c r="M7" i="45"/>
  <c r="W11" i="45"/>
  <c r="V7" i="45"/>
  <c r="AW7" i="45" s="1"/>
  <c r="AW12" i="45"/>
  <c r="AB12" i="45"/>
  <c r="AE12" i="45" s="1"/>
  <c r="G12" i="45"/>
  <c r="AW11" i="45"/>
  <c r="AB18" i="45"/>
  <c r="AE18" i="45" s="1"/>
  <c r="G18" i="45"/>
  <c r="AR39" i="45"/>
  <c r="K39" i="45"/>
  <c r="Y11" i="45"/>
  <c r="AH11" i="45" s="1"/>
  <c r="Z20" i="45"/>
  <c r="AI20" i="45" s="1"/>
  <c r="AZ39" i="45"/>
  <c r="BC39" i="45" s="1"/>
  <c r="P6" i="45"/>
  <c r="W7" i="45"/>
  <c r="V8" i="45"/>
  <c r="AW8" i="45" s="1"/>
  <c r="Z11" i="45"/>
  <c r="Y12" i="45"/>
  <c r="AW14" i="45"/>
  <c r="AB14" i="45"/>
  <c r="AE14" i="45" s="1"/>
  <c r="G14" i="45"/>
  <c r="Q13" i="45"/>
  <c r="AL13" i="45"/>
  <c r="T13" i="45" s="1"/>
  <c r="H17" i="45"/>
  <c r="M19" i="45"/>
  <c r="Z6" i="45"/>
  <c r="Z8" i="45"/>
  <c r="Z12" i="45"/>
  <c r="Z14" i="45"/>
  <c r="Z18" i="45"/>
  <c r="N19" i="45"/>
  <c r="H6" i="45"/>
  <c r="AC6" i="45"/>
  <c r="AF6" i="45" s="1"/>
  <c r="H8" i="45"/>
  <c r="AC8" i="45"/>
  <c r="AF8" i="45" s="1"/>
  <c r="H12" i="45"/>
  <c r="AC12" i="45"/>
  <c r="AF12" i="45" s="1"/>
  <c r="H14" i="45"/>
  <c r="AC14" i="45"/>
  <c r="AF14" i="45" s="1"/>
  <c r="H18" i="45"/>
  <c r="AC18" i="45"/>
  <c r="AF18" i="45" s="1"/>
  <c r="T39" i="45"/>
  <c r="AO39" i="45"/>
  <c r="AU39" i="45" s="1"/>
  <c r="AO19" i="45" l="1"/>
  <c r="AU19" i="45" s="1"/>
  <c r="S20" i="45"/>
  <c r="P20" i="45"/>
  <c r="AI18" i="45"/>
  <c r="AO18" i="45" s="1"/>
  <c r="AU18" i="45" s="1"/>
  <c r="K13" i="45"/>
  <c r="AO13" i="45"/>
  <c r="AU13" i="45" s="1"/>
  <c r="P5" i="45"/>
  <c r="T5" i="45"/>
  <c r="AH8" i="45"/>
  <c r="AN8" i="45" s="1"/>
  <c r="AT8" i="45" s="1"/>
  <c r="AX11" i="45"/>
  <c r="S18" i="45"/>
  <c r="AL18" i="45"/>
  <c r="T18" i="45" s="1"/>
  <c r="AI17" i="45"/>
  <c r="AO17" i="45" s="1"/>
  <c r="AU17" i="45" s="1"/>
  <c r="T17" i="45"/>
  <c r="AI11" i="45"/>
  <c r="AO11" i="45" s="1"/>
  <c r="AU11" i="45" s="1"/>
  <c r="AH7" i="45"/>
  <c r="AN7" i="45" s="1"/>
  <c r="AT7" i="45" s="1"/>
  <c r="AL6" i="45"/>
  <c r="T6" i="45" s="1"/>
  <c r="AI5" i="45"/>
  <c r="AO5" i="45" s="1"/>
  <c r="AU5" i="45" s="1"/>
  <c r="AH13" i="45"/>
  <c r="AN13" i="45" s="1"/>
  <c r="AT13" i="45" s="1"/>
  <c r="AW13" i="45"/>
  <c r="Q12" i="45"/>
  <c r="AL12" i="45"/>
  <c r="T12" i="45" s="1"/>
  <c r="AI7" i="45"/>
  <c r="AO7" i="45"/>
  <c r="AU7" i="45" s="1"/>
  <c r="P14" i="45"/>
  <c r="Q8" i="45"/>
  <c r="AL8" i="45"/>
  <c r="T8" i="45" s="1"/>
  <c r="J20" i="45"/>
  <c r="AH20" i="45"/>
  <c r="AN20" i="45" s="1"/>
  <c r="AT20" i="45" s="1"/>
  <c r="S5" i="45"/>
  <c r="Q14" i="45"/>
  <c r="AL14" i="45"/>
  <c r="T14" i="45" s="1"/>
  <c r="K19" i="45"/>
  <c r="P18" i="45"/>
  <c r="AH17" i="45"/>
  <c r="AN17" i="45" s="1"/>
  <c r="AT17" i="45" s="1"/>
  <c r="AH5" i="45"/>
  <c r="AN5" i="45" s="1"/>
  <c r="AT5" i="45" s="1"/>
  <c r="AQ19" i="45"/>
  <c r="J19" i="45"/>
  <c r="J5" i="45"/>
  <c r="AQ5" i="45"/>
  <c r="AR12" i="45"/>
  <c r="K12" i="45"/>
  <c r="AQ12" i="45"/>
  <c r="J12" i="45"/>
  <c r="AQ11" i="45"/>
  <c r="J11" i="45"/>
  <c r="AO20" i="45"/>
  <c r="AU20" i="45" s="1"/>
  <c r="AQ8" i="45"/>
  <c r="J8" i="45"/>
  <c r="Q19" i="45"/>
  <c r="AL19" i="45"/>
  <c r="T19" i="45" s="1"/>
  <c r="AX20" i="45"/>
  <c r="AW17" i="45"/>
  <c r="AR11" i="45"/>
  <c r="K11" i="45"/>
  <c r="AI14" i="45"/>
  <c r="AO14" i="45" s="1"/>
  <c r="AU14" i="45" s="1"/>
  <c r="AK7" i="45"/>
  <c r="S7" i="45" s="1"/>
  <c r="P7" i="45"/>
  <c r="AX13" i="45"/>
  <c r="Q20" i="45"/>
  <c r="AL20" i="45"/>
  <c r="T20" i="45" s="1"/>
  <c r="T7" i="45"/>
  <c r="T11" i="45"/>
  <c r="AR17" i="45"/>
  <c r="K17" i="45"/>
  <c r="AQ6" i="45"/>
  <c r="J6" i="45"/>
  <c r="AR8" i="45"/>
  <c r="K8" i="45"/>
  <c r="K20" i="45"/>
  <c r="AR20" i="45"/>
  <c r="AR6" i="45"/>
  <c r="K6" i="45"/>
  <c r="J14" i="45"/>
  <c r="AQ14" i="45"/>
  <c r="AI12" i="45"/>
  <c r="AO12" i="45" s="1"/>
  <c r="AU12" i="45" s="1"/>
  <c r="AH12" i="45"/>
  <c r="AN12" i="45" s="1"/>
  <c r="AT12" i="45" s="1"/>
  <c r="BA39" i="45"/>
  <c r="BD39" i="45" s="1"/>
  <c r="S6" i="45"/>
  <c r="AN11" i="45"/>
  <c r="AT11" i="45" s="1"/>
  <c r="AW19" i="45"/>
  <c r="AH18" i="45"/>
  <c r="AN18" i="45" s="1"/>
  <c r="AT18" i="45" s="1"/>
  <c r="AH14" i="45"/>
  <c r="AN14" i="45" s="1"/>
  <c r="AT14" i="45" s="1"/>
  <c r="AR7" i="45"/>
  <c r="K7" i="45"/>
  <c r="AK11" i="45"/>
  <c r="S11" i="45" s="1"/>
  <c r="P11" i="45"/>
  <c r="AX7" i="45"/>
  <c r="AK8" i="45"/>
  <c r="S8" i="45" s="1"/>
  <c r="P8" i="45"/>
  <c r="AN6" i="45"/>
  <c r="AT6" i="45" s="1"/>
  <c r="K18" i="45"/>
  <c r="AR18" i="45"/>
  <c r="AI8" i="45"/>
  <c r="AO8" i="45" s="1"/>
  <c r="AU8" i="45" s="1"/>
  <c r="AH19" i="45"/>
  <c r="AN19" i="45" s="1"/>
  <c r="AT19" i="45" s="1"/>
  <c r="AR5" i="45"/>
  <c r="K5" i="45"/>
  <c r="AK13" i="45"/>
  <c r="S13" i="45" s="1"/>
  <c r="P13" i="45"/>
  <c r="K14" i="45"/>
  <c r="AR14" i="45"/>
  <c r="AI6" i="45"/>
  <c r="AO6" i="45" s="1"/>
  <c r="AU6" i="45" s="1"/>
  <c r="J18" i="45"/>
  <c r="AQ18" i="45"/>
  <c r="AX17" i="45"/>
  <c r="AK12" i="45"/>
  <c r="S12" i="45" s="1"/>
  <c r="P12" i="45"/>
  <c r="AH6" i="45"/>
  <c r="AK19" i="45"/>
  <c r="S19" i="45" s="1"/>
  <c r="P19" i="45"/>
  <c r="AQ7" i="45"/>
  <c r="J7" i="45"/>
  <c r="AK17" i="45"/>
  <c r="S17" i="45" s="1"/>
  <c r="P17" i="45"/>
  <c r="BA13" i="45" l="1"/>
  <c r="BD13" i="45" s="1"/>
  <c r="BA19" i="45"/>
  <c r="BD19" i="45" s="1"/>
  <c r="AZ20" i="45"/>
  <c r="BC20" i="45" s="1"/>
  <c r="BA20" i="45"/>
  <c r="BD20" i="45" s="1"/>
  <c r="AZ14" i="45"/>
  <c r="BC14" i="45" s="1"/>
  <c r="BA11" i="45"/>
  <c r="BD11" i="45" s="1"/>
  <c r="BA7" i="45"/>
  <c r="BD7" i="45" s="1"/>
  <c r="AZ5" i="45"/>
  <c r="BC5" i="45" s="1"/>
  <c r="AZ7" i="45"/>
  <c r="BC7" i="45" s="1"/>
  <c r="BA18" i="45"/>
  <c r="BD18" i="45" s="1"/>
  <c r="AZ13" i="45"/>
  <c r="BC13" i="45" s="1"/>
  <c r="BA5" i="45"/>
  <c r="BD5" i="45" s="1"/>
  <c r="BA12" i="45"/>
  <c r="BD12" i="45" s="1"/>
  <c r="AZ17" i="45"/>
  <c r="BC17" i="45" s="1"/>
  <c r="BA6" i="45"/>
  <c r="BD6" i="45" s="1"/>
  <c r="AZ8" i="45"/>
  <c r="BC8" i="45" s="1"/>
  <c r="AZ18" i="45"/>
  <c r="BC18" i="45" s="1"/>
  <c r="AZ19" i="45"/>
  <c r="BC19" i="45" s="1"/>
  <c r="BA8" i="45"/>
  <c r="BD8" i="45" s="1"/>
  <c r="BA14" i="45"/>
  <c r="BD14" i="45" s="1"/>
  <c r="AZ6" i="45"/>
  <c r="BC6" i="45" s="1"/>
  <c r="AZ11" i="45"/>
  <c r="BC11" i="45" s="1"/>
  <c r="BA17" i="45"/>
  <c r="BD17" i="45" s="1"/>
  <c r="AZ12" i="45"/>
  <c r="BC12" i="45" s="1"/>
  <c r="L31" i="44" l="1"/>
  <c r="L30" i="44"/>
  <c r="M29" i="44"/>
  <c r="P29" i="44" s="1"/>
  <c r="M28" i="44"/>
  <c r="U28" i="44"/>
  <c r="V25" i="44"/>
  <c r="AW25" i="44" s="1"/>
  <c r="X24" i="44"/>
  <c r="V22" i="44"/>
  <c r="AW22" i="44" s="1"/>
  <c r="U22" i="44"/>
  <c r="AV22" i="44" s="1"/>
  <c r="V21" i="44"/>
  <c r="AW21" i="44" s="1"/>
  <c r="X21" i="44"/>
  <c r="X20" i="44"/>
  <c r="M17" i="44"/>
  <c r="AA16" i="44"/>
  <c r="AD16" i="44" s="1"/>
  <c r="X15" i="44"/>
  <c r="V14" i="44"/>
  <c r="U14" i="44"/>
  <c r="M12" i="44"/>
  <c r="L12" i="44"/>
  <c r="V6" i="44"/>
  <c r="AW6" i="44" s="1"/>
  <c r="M7" i="44"/>
  <c r="X8" i="44"/>
  <c r="V9" i="44"/>
  <c r="AW9" i="44" s="1"/>
  <c r="V5" i="44"/>
  <c r="AW5" i="44" s="1"/>
  <c r="X5" i="44"/>
  <c r="L32" i="44"/>
  <c r="D79" i="44"/>
  <c r="C79" i="44"/>
  <c r="U79" i="44" s="1"/>
  <c r="AA20" i="44"/>
  <c r="AD20" i="44" s="1"/>
  <c r="V16" i="44"/>
  <c r="AW16" i="44" s="1"/>
  <c r="M16" i="44"/>
  <c r="V15" i="44"/>
  <c r="AW15" i="44" s="1"/>
  <c r="X14" i="44"/>
  <c r="U8" i="44"/>
  <c r="AV8" i="44" s="1"/>
  <c r="L8" i="44" l="1"/>
  <c r="F8" i="44"/>
  <c r="I8" i="44" s="1"/>
  <c r="F20" i="44"/>
  <c r="L20" i="44"/>
  <c r="O20" i="44" s="1"/>
  <c r="U20" i="44"/>
  <c r="V28" i="44"/>
  <c r="AW28" i="44" s="1"/>
  <c r="AG20" i="44"/>
  <c r="AA24" i="44"/>
  <c r="AD24" i="44" s="1"/>
  <c r="F24" i="44"/>
  <c r="I24" i="44" s="1"/>
  <c r="L24" i="44"/>
  <c r="O24" i="44" s="1"/>
  <c r="U24" i="44"/>
  <c r="AV24" i="44" s="1"/>
  <c r="U16" i="44"/>
  <c r="AV16" i="44" s="1"/>
  <c r="AA12" i="44"/>
  <c r="AD12" i="44" s="1"/>
  <c r="F16" i="44"/>
  <c r="I16" i="44" s="1"/>
  <c r="L16" i="44"/>
  <c r="O16" i="44" s="1"/>
  <c r="O30" i="44"/>
  <c r="AJ30" i="44"/>
  <c r="AA28" i="44"/>
  <c r="AD28" i="44" s="1"/>
  <c r="L28" i="44"/>
  <c r="O28" i="44" s="1"/>
  <c r="AK29" i="44"/>
  <c r="U30" i="44"/>
  <c r="AV30" i="44" s="1"/>
  <c r="X30" i="44"/>
  <c r="F28" i="44"/>
  <c r="AA22" i="44"/>
  <c r="AD22" i="44" s="1"/>
  <c r="F22" i="44"/>
  <c r="L22" i="44"/>
  <c r="M22" i="44"/>
  <c r="P22" i="44" s="1"/>
  <c r="O12" i="44"/>
  <c r="AJ12" i="44"/>
  <c r="U12" i="44"/>
  <c r="AV12" i="44" s="1"/>
  <c r="V12" i="44"/>
  <c r="AW12" i="44" s="1"/>
  <c r="F14" i="44"/>
  <c r="AP14" i="44" s="1"/>
  <c r="AA14" i="44"/>
  <c r="AD14" i="44" s="1"/>
  <c r="L14" i="44"/>
  <c r="AJ14" i="44" s="1"/>
  <c r="R14" i="44" s="1"/>
  <c r="F12" i="44"/>
  <c r="AA6" i="44"/>
  <c r="AD6" i="44" s="1"/>
  <c r="F6" i="44"/>
  <c r="I6" i="44" s="1"/>
  <c r="L6" i="44"/>
  <c r="AJ6" i="44" s="1"/>
  <c r="M6" i="44"/>
  <c r="P6" i="44" s="1"/>
  <c r="U6" i="44"/>
  <c r="AV6" i="44" s="1"/>
  <c r="AA8" i="44"/>
  <c r="AD8" i="44" s="1"/>
  <c r="P7" i="44"/>
  <c r="AK7" i="44"/>
  <c r="O32" i="44"/>
  <c r="AJ32" i="44"/>
  <c r="O31" i="44"/>
  <c r="AJ31" i="44"/>
  <c r="AK17" i="44"/>
  <c r="P17" i="44"/>
  <c r="AA17" i="44"/>
  <c r="AD17" i="44" s="1"/>
  <c r="L17" i="44"/>
  <c r="F17" i="44"/>
  <c r="X17" i="44"/>
  <c r="U17" i="44"/>
  <c r="AB20" i="44"/>
  <c r="AE20" i="44" s="1"/>
  <c r="Y20" i="44"/>
  <c r="AH20" i="44" s="1"/>
  <c r="G20" i="44"/>
  <c r="M20" i="44"/>
  <c r="P16" i="44"/>
  <c r="AK16" i="44"/>
  <c r="AA23" i="44"/>
  <c r="AD23" i="44" s="1"/>
  <c r="L23" i="44"/>
  <c r="F23" i="44"/>
  <c r="X23" i="44"/>
  <c r="U23" i="44"/>
  <c r="AV23" i="44" s="1"/>
  <c r="AB8" i="44"/>
  <c r="AE8" i="44" s="1"/>
  <c r="Y8" i="44"/>
  <c r="G8" i="44"/>
  <c r="M8" i="44"/>
  <c r="V20" i="44"/>
  <c r="AB24" i="44"/>
  <c r="AE24" i="44" s="1"/>
  <c r="Y24" i="44"/>
  <c r="G24" i="44"/>
  <c r="M24" i="44"/>
  <c r="AA25" i="44"/>
  <c r="AD25" i="44" s="1"/>
  <c r="U25" i="44"/>
  <c r="L25" i="44"/>
  <c r="F25" i="44"/>
  <c r="AA29" i="44"/>
  <c r="AD29" i="44" s="1"/>
  <c r="L29" i="44"/>
  <c r="F29" i="44"/>
  <c r="X29" i="44"/>
  <c r="U29" i="44"/>
  <c r="AV29" i="44" s="1"/>
  <c r="U31" i="44"/>
  <c r="AV31" i="44" s="1"/>
  <c r="AV79" i="44"/>
  <c r="F79" i="44"/>
  <c r="AM79" i="44" s="1"/>
  <c r="AS79" i="44" s="1"/>
  <c r="AA79" i="44"/>
  <c r="AD79" i="44" s="1"/>
  <c r="X79" i="44"/>
  <c r="AG79" i="44" s="1"/>
  <c r="AB23" i="44"/>
  <c r="AE23" i="44" s="1"/>
  <c r="Y23" i="44"/>
  <c r="G23" i="44"/>
  <c r="V23" i="44"/>
  <c r="AB31" i="44"/>
  <c r="AE31" i="44" s="1"/>
  <c r="Y31" i="44"/>
  <c r="G31" i="44"/>
  <c r="V31" i="44"/>
  <c r="M31" i="44"/>
  <c r="M23" i="44"/>
  <c r="AA5" i="44"/>
  <c r="AD5" i="44" s="1"/>
  <c r="U5" i="44"/>
  <c r="L5" i="44"/>
  <c r="F5" i="44"/>
  <c r="F33" i="44"/>
  <c r="AA33" i="44"/>
  <c r="AD33" i="44" s="1"/>
  <c r="X33" i="44"/>
  <c r="AB13" i="44"/>
  <c r="AE13" i="44" s="1"/>
  <c r="G13" i="44"/>
  <c r="Y13" i="44"/>
  <c r="V13" i="44"/>
  <c r="AB33" i="44"/>
  <c r="AE33" i="44" s="1"/>
  <c r="Y33" i="44"/>
  <c r="G33" i="44"/>
  <c r="V33" i="44"/>
  <c r="M33" i="44"/>
  <c r="F32" i="44"/>
  <c r="AA32" i="44"/>
  <c r="AD32" i="44" s="1"/>
  <c r="X32" i="44"/>
  <c r="I20" i="44"/>
  <c r="AP20" i="44"/>
  <c r="AJ20" i="44"/>
  <c r="R20" i="44" s="1"/>
  <c r="U32" i="44"/>
  <c r="AV32" i="44" s="1"/>
  <c r="AA7" i="44"/>
  <c r="AD7" i="44" s="1"/>
  <c r="L7" i="44"/>
  <c r="F7" i="44"/>
  <c r="X7" i="44"/>
  <c r="U7" i="44"/>
  <c r="AV7" i="44" s="1"/>
  <c r="F31" i="44"/>
  <c r="AA31" i="44"/>
  <c r="AD31" i="44" s="1"/>
  <c r="X31" i="44"/>
  <c r="AB7" i="44"/>
  <c r="AE7" i="44" s="1"/>
  <c r="Y7" i="44"/>
  <c r="G7" i="44"/>
  <c r="V7" i="44"/>
  <c r="AA9" i="44"/>
  <c r="AD9" i="44" s="1"/>
  <c r="U9" i="44"/>
  <c r="L9" i="44"/>
  <c r="F9" i="44"/>
  <c r="AV28" i="44"/>
  <c r="AJ8" i="44"/>
  <c r="O8" i="44"/>
  <c r="AW14" i="44"/>
  <c r="AB17" i="44"/>
  <c r="AE17" i="44" s="1"/>
  <c r="Y17" i="44"/>
  <c r="G17" i="44"/>
  <c r="V17" i="44"/>
  <c r="AB32" i="44"/>
  <c r="AE32" i="44" s="1"/>
  <c r="Y32" i="44"/>
  <c r="G32" i="44"/>
  <c r="V32" i="44"/>
  <c r="AW32" i="44"/>
  <c r="M32" i="44"/>
  <c r="AA21" i="44"/>
  <c r="AD21" i="44" s="1"/>
  <c r="U21" i="44"/>
  <c r="AV21" i="44" s="1"/>
  <c r="L21" i="44"/>
  <c r="F21" i="44"/>
  <c r="AB79" i="44"/>
  <c r="AE79" i="44" s="1"/>
  <c r="Y79" i="44"/>
  <c r="AH79" i="44" s="1"/>
  <c r="G79" i="44"/>
  <c r="V79" i="44"/>
  <c r="AN79" i="44" s="1"/>
  <c r="AT79" i="44" s="1"/>
  <c r="M79" i="44"/>
  <c r="AP8" i="44"/>
  <c r="AV14" i="44"/>
  <c r="AB30" i="44"/>
  <c r="AE30" i="44" s="1"/>
  <c r="Y30" i="44"/>
  <c r="AH30" i="44" s="1"/>
  <c r="G30" i="44"/>
  <c r="L79" i="44"/>
  <c r="BK79" i="44" s="1"/>
  <c r="BN79" i="44" s="1"/>
  <c r="AA13" i="44"/>
  <c r="AD13" i="44" s="1"/>
  <c r="L13" i="44"/>
  <c r="F13" i="44"/>
  <c r="X13" i="44"/>
  <c r="U13" i="44"/>
  <c r="AJ16" i="44"/>
  <c r="M30" i="44"/>
  <c r="V8" i="44"/>
  <c r="AB14" i="44"/>
  <c r="AE14" i="44" s="1"/>
  <c r="G14" i="44"/>
  <c r="Y14" i="44"/>
  <c r="M14" i="44"/>
  <c r="V24" i="44"/>
  <c r="P12" i="44"/>
  <c r="AK12" i="44"/>
  <c r="M13" i="44"/>
  <c r="AA15" i="44"/>
  <c r="AD15" i="44" s="1"/>
  <c r="U15" i="44"/>
  <c r="AV15" i="44" s="1"/>
  <c r="L15" i="44"/>
  <c r="F15" i="44"/>
  <c r="AV20" i="44"/>
  <c r="P28" i="44"/>
  <c r="AK28" i="44"/>
  <c r="V30" i="44"/>
  <c r="L33" i="44"/>
  <c r="X9" i="44"/>
  <c r="X25" i="44"/>
  <c r="U33" i="44"/>
  <c r="AB25" i="44"/>
  <c r="AE25" i="44" s="1"/>
  <c r="Y25" i="44"/>
  <c r="G25" i="44"/>
  <c r="X6" i="44"/>
  <c r="X12" i="44"/>
  <c r="X16" i="44"/>
  <c r="AG16" i="44" s="1"/>
  <c r="X22" i="44"/>
  <c r="X28" i="44"/>
  <c r="AB15" i="44"/>
  <c r="AE15" i="44" s="1"/>
  <c r="Y15" i="44"/>
  <c r="G15" i="44"/>
  <c r="AB21" i="44"/>
  <c r="AE21" i="44" s="1"/>
  <c r="Y21" i="44"/>
  <c r="G21" i="44"/>
  <c r="AB5" i="44"/>
  <c r="AE5" i="44" s="1"/>
  <c r="G5" i="44"/>
  <c r="Y5" i="44"/>
  <c r="AB9" i="44"/>
  <c r="AE9" i="44" s="1"/>
  <c r="G9" i="44"/>
  <c r="Y9" i="44"/>
  <c r="M5" i="44"/>
  <c r="AB6" i="44"/>
  <c r="AE6" i="44" s="1"/>
  <c r="G6" i="44"/>
  <c r="Y6" i="44"/>
  <c r="M9" i="44"/>
  <c r="AB12" i="44"/>
  <c r="AE12" i="44" s="1"/>
  <c r="Y12" i="44"/>
  <c r="G12" i="44"/>
  <c r="M15" i="44"/>
  <c r="AB16" i="44"/>
  <c r="AE16" i="44" s="1"/>
  <c r="Y16" i="44"/>
  <c r="G16" i="44"/>
  <c r="M21" i="44"/>
  <c r="AB22" i="44"/>
  <c r="AE22" i="44" s="1"/>
  <c r="Y22" i="44"/>
  <c r="G22" i="44"/>
  <c r="M25" i="44"/>
  <c r="AB28" i="44"/>
  <c r="AE28" i="44" s="1"/>
  <c r="Y28" i="44"/>
  <c r="G28" i="44"/>
  <c r="V29" i="44"/>
  <c r="AB29" i="44"/>
  <c r="AE29" i="44" s="1"/>
  <c r="Y29" i="44"/>
  <c r="G29" i="44"/>
  <c r="F30" i="44"/>
  <c r="AA30" i="44"/>
  <c r="O6" i="44" l="1"/>
  <c r="AH12" i="44"/>
  <c r="AH13" i="44"/>
  <c r="AN13" i="44" s="1"/>
  <c r="AT13" i="44" s="1"/>
  <c r="AH25" i="44"/>
  <c r="AH28" i="44"/>
  <c r="AH32" i="44"/>
  <c r="AJ28" i="44"/>
  <c r="R28" i="44" s="1"/>
  <c r="AG28" i="44"/>
  <c r="AM28" i="44" s="1"/>
  <c r="AS28" i="44" s="1"/>
  <c r="AJ24" i="44"/>
  <c r="R24" i="44" s="1"/>
  <c r="AG21" i="44"/>
  <c r="AM21" i="44" s="1"/>
  <c r="AS21" i="44" s="1"/>
  <c r="AM16" i="44"/>
  <c r="AS16" i="44" s="1"/>
  <c r="AH14" i="44"/>
  <c r="AN14" i="44" s="1"/>
  <c r="AT14" i="44" s="1"/>
  <c r="AH5" i="44"/>
  <c r="AN5" i="44" s="1"/>
  <c r="AT5" i="44" s="1"/>
  <c r="I14" i="44"/>
  <c r="AG7" i="44"/>
  <c r="AM7" i="44" s="1"/>
  <c r="AS7" i="44" s="1"/>
  <c r="AH23" i="44"/>
  <c r="AN23" i="44" s="1"/>
  <c r="AT23" i="44" s="1"/>
  <c r="AH21" i="44"/>
  <c r="AN21" i="44" s="1"/>
  <c r="AT21" i="44" s="1"/>
  <c r="AM20" i="44"/>
  <c r="AS20" i="44" s="1"/>
  <c r="R8" i="44"/>
  <c r="AG32" i="44"/>
  <c r="AM32" i="44" s="1"/>
  <c r="AS32" i="44" s="1"/>
  <c r="AH7" i="44"/>
  <c r="AN7" i="44" s="1"/>
  <c r="AT7" i="44" s="1"/>
  <c r="AH15" i="44"/>
  <c r="AN15" i="44" s="1"/>
  <c r="AT15" i="44" s="1"/>
  <c r="R16" i="44"/>
  <c r="AG12" i="44"/>
  <c r="AM12" i="44" s="1"/>
  <c r="AS12" i="44" s="1"/>
  <c r="AH6" i="44"/>
  <c r="AN6" i="44" s="1"/>
  <c r="AT6" i="44" s="1"/>
  <c r="AH22" i="44"/>
  <c r="AN22" i="44" s="1"/>
  <c r="AT22" i="44" s="1"/>
  <c r="AP24" i="44"/>
  <c r="AG24" i="44"/>
  <c r="AM24" i="44" s="1"/>
  <c r="AS24" i="44" s="1"/>
  <c r="R30" i="44"/>
  <c r="AN32" i="44"/>
  <c r="AT32" i="44" s="1"/>
  <c r="AK22" i="44"/>
  <c r="S22" i="44" s="1"/>
  <c r="AH29" i="44"/>
  <c r="AN29" i="44" s="1"/>
  <c r="AT29" i="44" s="1"/>
  <c r="AH16" i="44"/>
  <c r="AN16" i="44" s="1"/>
  <c r="AT16" i="44" s="1"/>
  <c r="AG22" i="44"/>
  <c r="AM22" i="44" s="1"/>
  <c r="AS22" i="44" s="1"/>
  <c r="AN30" i="44"/>
  <c r="AT30" i="44" s="1"/>
  <c r="R31" i="44"/>
  <c r="AG31" i="44"/>
  <c r="AM31" i="44" s="1"/>
  <c r="AS31" i="44" s="1"/>
  <c r="AG23" i="44"/>
  <c r="AM23" i="44" s="1"/>
  <c r="AS23" i="44" s="1"/>
  <c r="O14" i="44"/>
  <c r="AP16" i="44"/>
  <c r="AG6" i="44"/>
  <c r="AM6" i="44" s="1"/>
  <c r="AS6" i="44" s="1"/>
  <c r="AP6" i="44"/>
  <c r="R6" i="44"/>
  <c r="I28" i="44"/>
  <c r="AP28" i="44"/>
  <c r="I22" i="44"/>
  <c r="AY22" i="44" s="1"/>
  <c r="BB22" i="44" s="1"/>
  <c r="AP22" i="44"/>
  <c r="AG25" i="44"/>
  <c r="AM25" i="44" s="1"/>
  <c r="AS25" i="44" s="1"/>
  <c r="AH24" i="44"/>
  <c r="AN24" i="44" s="1"/>
  <c r="AT24" i="44" s="1"/>
  <c r="O22" i="44"/>
  <c r="AJ22" i="44"/>
  <c r="R22" i="44" s="1"/>
  <c r="I12" i="44"/>
  <c r="AP12" i="44"/>
  <c r="AG14" i="44"/>
  <c r="AM14" i="44" s="1"/>
  <c r="AG15" i="44"/>
  <c r="AM15" i="44" s="1"/>
  <c r="AS15" i="44" s="1"/>
  <c r="R12" i="44"/>
  <c r="S17" i="44"/>
  <c r="AK6" i="44"/>
  <c r="S6" i="44" s="1"/>
  <c r="AH8" i="44"/>
  <c r="AN8" i="44" s="1"/>
  <c r="AT8" i="44" s="1"/>
  <c r="AH9" i="44"/>
  <c r="AN9" i="44" s="1"/>
  <c r="AT9" i="44" s="1"/>
  <c r="AG8" i="44"/>
  <c r="AM8" i="44" s="1"/>
  <c r="AS8" i="44" s="1"/>
  <c r="AG9" i="44"/>
  <c r="AM9" i="44" s="1"/>
  <c r="AS9" i="44" s="1"/>
  <c r="I5" i="44"/>
  <c r="AP5" i="44"/>
  <c r="J29" i="44"/>
  <c r="AQ29" i="44"/>
  <c r="J16" i="44"/>
  <c r="AQ16" i="44"/>
  <c r="O13" i="44"/>
  <c r="AJ13" i="44"/>
  <c r="R13" i="44" s="1"/>
  <c r="AJ17" i="44"/>
  <c r="R17" i="44" s="1"/>
  <c r="O17" i="44"/>
  <c r="J9" i="44"/>
  <c r="AQ9" i="44"/>
  <c r="J14" i="44"/>
  <c r="AQ14" i="44"/>
  <c r="AV9" i="44"/>
  <c r="J33" i="44"/>
  <c r="AQ33" i="44"/>
  <c r="I33" i="44"/>
  <c r="AP33" i="44"/>
  <c r="J31" i="44"/>
  <c r="AQ31" i="44"/>
  <c r="AV25" i="44"/>
  <c r="S16" i="44"/>
  <c r="P32" i="44"/>
  <c r="AK32" i="44"/>
  <c r="S32" i="44" s="1"/>
  <c r="AH33" i="44"/>
  <c r="AN33" i="44" s="1"/>
  <c r="AT33" i="44" s="1"/>
  <c r="AH31" i="44"/>
  <c r="AN31" i="44" s="1"/>
  <c r="AT31" i="44" s="1"/>
  <c r="O33" i="44"/>
  <c r="AJ33" i="44"/>
  <c r="R33" i="44" s="1"/>
  <c r="J28" i="44"/>
  <c r="AQ28" i="44"/>
  <c r="AN28" i="44"/>
  <c r="AT28" i="44" s="1"/>
  <c r="AG29" i="44"/>
  <c r="AM29" i="44" s="1"/>
  <c r="AS29" i="44" s="1"/>
  <c r="J20" i="44"/>
  <c r="AQ20" i="44"/>
  <c r="S28" i="44"/>
  <c r="J79" i="44"/>
  <c r="AZ79" i="44" s="1"/>
  <c r="BC79" i="44" s="1"/>
  <c r="AQ79" i="44"/>
  <c r="AW23" i="44"/>
  <c r="AW13" i="44"/>
  <c r="J23" i="44"/>
  <c r="AQ23" i="44"/>
  <c r="AK9" i="44"/>
  <c r="S9" i="44" s="1"/>
  <c r="P9" i="44"/>
  <c r="J30" i="44"/>
  <c r="AQ30" i="44"/>
  <c r="AW24" i="44"/>
  <c r="AW17" i="44"/>
  <c r="I32" i="44"/>
  <c r="AP32" i="44"/>
  <c r="R32" i="44"/>
  <c r="P79" i="44"/>
  <c r="AK79" i="44"/>
  <c r="S79" i="44" s="1"/>
  <c r="J12" i="44"/>
  <c r="AQ12" i="44"/>
  <c r="AN12" i="44"/>
  <c r="AT12" i="44" s="1"/>
  <c r="AW7" i="44"/>
  <c r="AJ5" i="44"/>
  <c r="R5" i="44" s="1"/>
  <c r="O5" i="44"/>
  <c r="J25" i="44"/>
  <c r="AQ25" i="44"/>
  <c r="AN25" i="44"/>
  <c r="AT25" i="44" s="1"/>
  <c r="O79" i="44"/>
  <c r="AJ79" i="44"/>
  <c r="R79" i="44" s="1"/>
  <c r="I23" i="44"/>
  <c r="AP23" i="44"/>
  <c r="J21" i="44"/>
  <c r="AQ21" i="44"/>
  <c r="AW30" i="44"/>
  <c r="AW79" i="44"/>
  <c r="J13" i="44"/>
  <c r="AQ13" i="44"/>
  <c r="AN20" i="44"/>
  <c r="AT20" i="44" s="1"/>
  <c r="J15" i="44"/>
  <c r="AQ15" i="44"/>
  <c r="I21" i="44"/>
  <c r="AP21" i="44"/>
  <c r="AD30" i="44"/>
  <c r="AG30" i="44"/>
  <c r="AM30" i="44" s="1"/>
  <c r="AS30" i="44" s="1"/>
  <c r="AW20" i="44"/>
  <c r="O15" i="44"/>
  <c r="AJ15" i="44"/>
  <c r="R15" i="44" s="1"/>
  <c r="AG13" i="44"/>
  <c r="AM13" i="44" s="1"/>
  <c r="AS13" i="44" s="1"/>
  <c r="O21" i="44"/>
  <c r="AJ21" i="44"/>
  <c r="R21" i="44" s="1"/>
  <c r="J17" i="44"/>
  <c r="AQ17" i="44"/>
  <c r="I9" i="44"/>
  <c r="AP9" i="44"/>
  <c r="P33" i="44"/>
  <c r="AK33" i="44"/>
  <c r="S33" i="44" s="1"/>
  <c r="AV33" i="44"/>
  <c r="P31" i="44"/>
  <c r="AK31" i="44"/>
  <c r="S31" i="44" s="1"/>
  <c r="I25" i="44"/>
  <c r="AP25" i="44"/>
  <c r="P8" i="44"/>
  <c r="AK8" i="44"/>
  <c r="S8" i="44" s="1"/>
  <c r="S29" i="44"/>
  <c r="AG17" i="44"/>
  <c r="AM17" i="44" s="1"/>
  <c r="AS17" i="44" s="1"/>
  <c r="P20" i="44"/>
  <c r="AK20" i="44"/>
  <c r="S20" i="44" s="1"/>
  <c r="J5" i="44"/>
  <c r="AQ5" i="44"/>
  <c r="P13" i="44"/>
  <c r="AK13" i="44"/>
  <c r="S13" i="44" s="1"/>
  <c r="P24" i="44"/>
  <c r="AK24" i="44"/>
  <c r="S24" i="44" s="1"/>
  <c r="S12" i="44"/>
  <c r="AW29" i="44"/>
  <c r="J32" i="44"/>
  <c r="AQ32" i="44"/>
  <c r="I7" i="44"/>
  <c r="AP7" i="44"/>
  <c r="I29" i="44"/>
  <c r="AP29" i="44"/>
  <c r="J24" i="44"/>
  <c r="AQ24" i="44"/>
  <c r="AJ7" i="44"/>
  <c r="R7" i="44" s="1"/>
  <c r="O7" i="44"/>
  <c r="AV5" i="44"/>
  <c r="O29" i="44"/>
  <c r="AJ29" i="44"/>
  <c r="R29" i="44" s="1"/>
  <c r="AJ23" i="44"/>
  <c r="R23" i="44" s="1"/>
  <c r="O23" i="44"/>
  <c r="AK25" i="44"/>
  <c r="S25" i="44" s="1"/>
  <c r="P25" i="44"/>
  <c r="J22" i="44"/>
  <c r="AQ22" i="44"/>
  <c r="P23" i="44"/>
  <c r="AK23" i="44"/>
  <c r="S23" i="44" s="1"/>
  <c r="J6" i="44"/>
  <c r="AQ6" i="44"/>
  <c r="I15" i="44"/>
  <c r="AP15" i="44"/>
  <c r="AV13" i="44"/>
  <c r="AV17" i="44"/>
  <c r="I30" i="44"/>
  <c r="AP30" i="44"/>
  <c r="AK21" i="44"/>
  <c r="S21" i="44" s="1"/>
  <c r="P21" i="44"/>
  <c r="P5" i="44"/>
  <c r="AK5" i="44"/>
  <c r="S5" i="44" s="1"/>
  <c r="P14" i="44"/>
  <c r="AK14" i="44"/>
  <c r="S14" i="44" s="1"/>
  <c r="I13" i="44"/>
  <c r="AP13" i="44"/>
  <c r="AH17" i="44"/>
  <c r="AN17" i="44" s="1"/>
  <c r="AT17" i="44" s="1"/>
  <c r="O9" i="44"/>
  <c r="AJ9" i="44"/>
  <c r="R9" i="44" s="1"/>
  <c r="I31" i="44"/>
  <c r="AP31" i="44"/>
  <c r="AW33" i="44"/>
  <c r="AG33" i="44"/>
  <c r="AM33" i="44" s="1"/>
  <c r="AS33" i="44" s="1"/>
  <c r="AW31" i="44"/>
  <c r="I79" i="44"/>
  <c r="AY79" i="44" s="1"/>
  <c r="BB79" i="44" s="1"/>
  <c r="AP79" i="44"/>
  <c r="O25" i="44"/>
  <c r="AJ25" i="44"/>
  <c r="R25" i="44" s="1"/>
  <c r="J8" i="44"/>
  <c r="AQ8" i="44"/>
  <c r="AG5" i="44"/>
  <c r="AM5" i="44" s="1"/>
  <c r="AS5" i="44" s="1"/>
  <c r="I17" i="44"/>
  <c r="AP17" i="44"/>
  <c r="S7" i="44"/>
  <c r="AK15" i="44"/>
  <c r="S15" i="44" s="1"/>
  <c r="P15" i="44"/>
  <c r="AW8" i="44"/>
  <c r="P30" i="44"/>
  <c r="AK30" i="44"/>
  <c r="S30" i="44" s="1"/>
  <c r="J7" i="44"/>
  <c r="AQ7" i="44"/>
  <c r="AY20" i="44" l="1"/>
  <c r="BB20" i="44" s="1"/>
  <c r="AZ13" i="44"/>
  <c r="BC13" i="44" s="1"/>
  <c r="AY28" i="44"/>
  <c r="BB28" i="44" s="1"/>
  <c r="AY16" i="44"/>
  <c r="BB16" i="44" s="1"/>
  <c r="AZ30" i="44"/>
  <c r="BC30" i="44" s="1"/>
  <c r="AY12" i="44"/>
  <c r="BB12" i="44" s="1"/>
  <c r="AZ14" i="44"/>
  <c r="BC14" i="44" s="1"/>
  <c r="AZ23" i="44"/>
  <c r="BC23" i="44" s="1"/>
  <c r="AY6" i="44"/>
  <c r="BB6" i="44" s="1"/>
  <c r="AZ15" i="44"/>
  <c r="BC15" i="44" s="1"/>
  <c r="AZ29" i="44"/>
  <c r="BC29" i="44" s="1"/>
  <c r="AZ32" i="44"/>
  <c r="BC32" i="44" s="1"/>
  <c r="AZ7" i="44"/>
  <c r="BC7" i="44" s="1"/>
  <c r="AZ24" i="44"/>
  <c r="BC24" i="44" s="1"/>
  <c r="AY24" i="44"/>
  <c r="BB24" i="44" s="1"/>
  <c r="AZ16" i="44"/>
  <c r="BC16" i="44" s="1"/>
  <c r="AY9" i="44"/>
  <c r="BB9" i="44" s="1"/>
  <c r="AZ28" i="44"/>
  <c r="BC28" i="44" s="1"/>
  <c r="AY31" i="44"/>
  <c r="BB31" i="44" s="1"/>
  <c r="AY32" i="44"/>
  <c r="BB32" i="44" s="1"/>
  <c r="AZ25" i="44"/>
  <c r="BC25" i="44" s="1"/>
  <c r="AY25" i="44"/>
  <c r="BB25" i="44" s="1"/>
  <c r="AZ22" i="44"/>
  <c r="BC22" i="44" s="1"/>
  <c r="AS14" i="44"/>
  <c r="AY14" i="44"/>
  <c r="BB14" i="44" s="1"/>
  <c r="AY17" i="44"/>
  <c r="BB17" i="44" s="1"/>
  <c r="AY15" i="44"/>
  <c r="BB15" i="44" s="1"/>
  <c r="AY8" i="44"/>
  <c r="BB8" i="44" s="1"/>
  <c r="AZ9" i="44"/>
  <c r="BC9" i="44" s="1"/>
  <c r="AY5" i="44"/>
  <c r="BB5" i="44" s="1"/>
  <c r="AY13" i="44"/>
  <c r="BB13" i="44" s="1"/>
  <c r="AY29" i="44"/>
  <c r="BB29" i="44" s="1"/>
  <c r="AY30" i="44"/>
  <c r="BB30" i="44" s="1"/>
  <c r="AZ6" i="44"/>
  <c r="BC6" i="44" s="1"/>
  <c r="AY7" i="44"/>
  <c r="BB7" i="44" s="1"/>
  <c r="AZ21" i="44"/>
  <c r="BC21" i="44" s="1"/>
  <c r="AZ20" i="44"/>
  <c r="BC20" i="44" s="1"/>
  <c r="AY21" i="44"/>
  <c r="BB21" i="44" s="1"/>
  <c r="AZ12" i="44"/>
  <c r="BC12" i="44" s="1"/>
  <c r="AY33" i="44"/>
  <c r="BB33" i="44" s="1"/>
  <c r="AZ5" i="44"/>
  <c r="BC5" i="44" s="1"/>
  <c r="AZ33" i="44"/>
  <c r="BC33" i="44" s="1"/>
  <c r="AZ8" i="44"/>
  <c r="BC8" i="44" s="1"/>
  <c r="AY23" i="44"/>
  <c r="BB23" i="44" s="1"/>
  <c r="AZ31" i="44"/>
  <c r="BC31" i="44" s="1"/>
  <c r="AZ17" i="44"/>
  <c r="BC17" i="44" s="1"/>
  <c r="C33" i="43" l="1"/>
  <c r="AA33" i="43" s="1"/>
  <c r="AD33" i="43" s="1"/>
  <c r="D33" i="43"/>
  <c r="C25" i="43"/>
  <c r="D25" i="43"/>
  <c r="C17" i="43"/>
  <c r="X17" i="43" s="1"/>
  <c r="D17" i="43"/>
  <c r="D32" i="43"/>
  <c r="C32" i="43"/>
  <c r="AA32" i="43" s="1"/>
  <c r="AD32" i="43" s="1"/>
  <c r="D31" i="43"/>
  <c r="C31" i="43"/>
  <c r="D30" i="43"/>
  <c r="V30" i="43" s="1"/>
  <c r="C30" i="43"/>
  <c r="AA30" i="43" s="1"/>
  <c r="AD30" i="43" s="1"/>
  <c r="D29" i="43"/>
  <c r="M29" i="43" s="1"/>
  <c r="AK29" i="43" s="1"/>
  <c r="C29" i="43"/>
  <c r="AA29" i="43" s="1"/>
  <c r="AD29" i="43" s="1"/>
  <c r="D28" i="43"/>
  <c r="V28" i="43" s="1"/>
  <c r="C28" i="43"/>
  <c r="AA28" i="43" s="1"/>
  <c r="AD28" i="43" s="1"/>
  <c r="D24" i="43"/>
  <c r="V24" i="43" s="1"/>
  <c r="AW24" i="43" s="1"/>
  <c r="C24" i="43"/>
  <c r="AA24" i="43" s="1"/>
  <c r="AD24" i="43" s="1"/>
  <c r="D23" i="43"/>
  <c r="M23" i="43" s="1"/>
  <c r="AK23" i="43" s="1"/>
  <c r="C23" i="43"/>
  <c r="AA23" i="43" s="1"/>
  <c r="AD23" i="43" s="1"/>
  <c r="D22" i="43"/>
  <c r="C22" i="43"/>
  <c r="AA22" i="43" s="1"/>
  <c r="AD22" i="43" s="1"/>
  <c r="D21" i="43"/>
  <c r="V21" i="43" s="1"/>
  <c r="C21" i="43"/>
  <c r="AA21" i="43" s="1"/>
  <c r="AD21" i="43" s="1"/>
  <c r="D20" i="43"/>
  <c r="V20" i="43" s="1"/>
  <c r="C20" i="43"/>
  <c r="X20" i="43" s="1"/>
  <c r="D16" i="43"/>
  <c r="C16" i="43"/>
  <c r="U16" i="43" s="1"/>
  <c r="D15" i="43"/>
  <c r="C15" i="43"/>
  <c r="D14" i="43"/>
  <c r="C14" i="43"/>
  <c r="D13" i="43"/>
  <c r="AB13" i="43" s="1"/>
  <c r="AE13" i="43" s="1"/>
  <c r="C13" i="43"/>
  <c r="F13" i="43" s="1"/>
  <c r="I13" i="43" s="1"/>
  <c r="D12" i="43"/>
  <c r="AB12" i="43" s="1"/>
  <c r="AE12" i="43" s="1"/>
  <c r="C12" i="43"/>
  <c r="U12" i="43" s="1"/>
  <c r="C6" i="43"/>
  <c r="F6" i="43" s="1"/>
  <c r="D6" i="43"/>
  <c r="AB6" i="43" s="1"/>
  <c r="AE6" i="43" s="1"/>
  <c r="C7" i="43"/>
  <c r="D7" i="43"/>
  <c r="AB7" i="43" s="1"/>
  <c r="AE7" i="43" s="1"/>
  <c r="C8" i="43"/>
  <c r="D8" i="43"/>
  <c r="AB8" i="43" s="1"/>
  <c r="AE8" i="43" s="1"/>
  <c r="C9" i="43"/>
  <c r="F9" i="43" s="1"/>
  <c r="D9" i="43"/>
  <c r="AB9" i="43" s="1"/>
  <c r="AE9" i="43" s="1"/>
  <c r="D5" i="43"/>
  <c r="L5" i="43"/>
  <c r="AB79" i="43"/>
  <c r="AE79" i="43" s="1"/>
  <c r="AA79" i="43"/>
  <c r="AD79" i="43" s="1"/>
  <c r="Y79" i="43"/>
  <c r="AH79" i="43" s="1"/>
  <c r="X79" i="43"/>
  <c r="V79" i="43"/>
  <c r="AW79" i="43" s="1"/>
  <c r="U79" i="43"/>
  <c r="AV79" i="43" s="1"/>
  <c r="M79" i="43"/>
  <c r="AK79" i="43" s="1"/>
  <c r="S79" i="43" s="1"/>
  <c r="L79" i="43"/>
  <c r="AJ79" i="43" s="1"/>
  <c r="R79" i="43" s="1"/>
  <c r="I79" i="43"/>
  <c r="G79" i="43"/>
  <c r="F79" i="43"/>
  <c r="AP79" i="43" s="1"/>
  <c r="AA31" i="43"/>
  <c r="AD31" i="43" s="1"/>
  <c r="U25" i="43"/>
  <c r="AV25" i="43" s="1"/>
  <c r="M25" i="43"/>
  <c r="AK25" i="43" s="1"/>
  <c r="AA25" i="43"/>
  <c r="AD25" i="43" s="1"/>
  <c r="V17" i="43"/>
  <c r="AA16" i="43"/>
  <c r="AD16" i="43" s="1"/>
  <c r="L16" i="43"/>
  <c r="X16" i="43"/>
  <c r="M15" i="43"/>
  <c r="AK15" i="43" s="1"/>
  <c r="V14" i="43"/>
  <c r="AA14" i="43"/>
  <c r="AD14" i="43" s="1"/>
  <c r="AA13" i="43"/>
  <c r="AD13" i="43" s="1"/>
  <c r="L13" i="43"/>
  <c r="O13" i="43" s="1"/>
  <c r="X8" i="43"/>
  <c r="V8" i="43"/>
  <c r="L8" i="43"/>
  <c r="O8" i="43" s="1"/>
  <c r="U8" i="43"/>
  <c r="AA7" i="43"/>
  <c r="AD7" i="43" s="1"/>
  <c r="AB5" i="43"/>
  <c r="AE5" i="43" s="1"/>
  <c r="D13" i="38"/>
  <c r="D13" i="40" s="1"/>
  <c r="E12" i="29"/>
  <c r="U21" i="43" l="1"/>
  <c r="AV21" i="43" s="1"/>
  <c r="X21" i="43"/>
  <c r="AA6" i="43"/>
  <c r="AD6" i="43" s="1"/>
  <c r="U32" i="43"/>
  <c r="AV32" i="43" s="1"/>
  <c r="AW21" i="43"/>
  <c r="U23" i="43"/>
  <c r="AV23" i="43" s="1"/>
  <c r="AW28" i="43"/>
  <c r="L30" i="43"/>
  <c r="O30" i="43" s="1"/>
  <c r="F16" i="43"/>
  <c r="AP16" i="43" s="1"/>
  <c r="F21" i="43"/>
  <c r="I21" i="43" s="1"/>
  <c r="M28" i="43"/>
  <c r="AK28" i="43" s="1"/>
  <c r="U30" i="43"/>
  <c r="AV30" i="43" s="1"/>
  <c r="U29" i="43"/>
  <c r="AV29" i="43" s="1"/>
  <c r="V6" i="43"/>
  <c r="AW6" i="43" s="1"/>
  <c r="L9" i="43"/>
  <c r="O9" i="43" s="1"/>
  <c r="L14" i="43"/>
  <c r="O14" i="43" s="1"/>
  <c r="L17" i="43"/>
  <c r="M22" i="43"/>
  <c r="AK22" i="43" s="1"/>
  <c r="X29" i="43"/>
  <c r="AG29" i="43" s="1"/>
  <c r="F32" i="43"/>
  <c r="I32" i="43" s="1"/>
  <c r="X6" i="43"/>
  <c r="U9" i="43"/>
  <c r="AV9" i="43" s="1"/>
  <c r="U14" i="43"/>
  <c r="AV14" i="43" s="1"/>
  <c r="U17" i="43"/>
  <c r="AV17" i="43" s="1"/>
  <c r="V22" i="43"/>
  <c r="AW22" i="43" s="1"/>
  <c r="L25" i="43"/>
  <c r="O25" i="43" s="1"/>
  <c r="L32" i="43"/>
  <c r="O32" i="43" s="1"/>
  <c r="AG79" i="43"/>
  <c r="M24" i="43"/>
  <c r="AK24" i="43" s="1"/>
  <c r="L29" i="43"/>
  <c r="O29" i="43" s="1"/>
  <c r="P79" i="43"/>
  <c r="L23" i="43"/>
  <c r="O23" i="43" s="1"/>
  <c r="F30" i="43"/>
  <c r="I30" i="43" s="1"/>
  <c r="AA12" i="43"/>
  <c r="AD12" i="43" s="1"/>
  <c r="AA15" i="43"/>
  <c r="AD15" i="43" s="1"/>
  <c r="X9" i="43"/>
  <c r="AG16" i="43"/>
  <c r="AA17" i="43"/>
  <c r="AD17" i="43" s="1"/>
  <c r="M21" i="43"/>
  <c r="L6" i="43"/>
  <c r="O6" i="43" s="1"/>
  <c r="F8" i="43"/>
  <c r="AA9" i="43"/>
  <c r="AD9" i="43" s="1"/>
  <c r="X14" i="43"/>
  <c r="AG14" i="43" s="1"/>
  <c r="X30" i="43"/>
  <c r="AG30" i="43" s="1"/>
  <c r="X32" i="43"/>
  <c r="AG32" i="43" s="1"/>
  <c r="O79" i="43"/>
  <c r="F12" i="43"/>
  <c r="AP13" i="43"/>
  <c r="F15" i="43"/>
  <c r="F20" i="43"/>
  <c r="AP20" i="43" s="1"/>
  <c r="F31" i="43"/>
  <c r="I31" i="43" s="1"/>
  <c r="F5" i="43"/>
  <c r="AP5" i="43" s="1"/>
  <c r="AA8" i="43"/>
  <c r="AD8" i="43" s="1"/>
  <c r="F7" i="43"/>
  <c r="U20" i="43"/>
  <c r="AV20" i="43" s="1"/>
  <c r="F17" i="43"/>
  <c r="F33" i="43"/>
  <c r="I33" i="43" s="1"/>
  <c r="L15" i="43"/>
  <c r="AJ15" i="43" s="1"/>
  <c r="L20" i="43"/>
  <c r="O20" i="43" s="1"/>
  <c r="X31" i="43"/>
  <c r="AG31" i="43" s="1"/>
  <c r="X33" i="43"/>
  <c r="AG33" i="43" s="1"/>
  <c r="U5" i="43"/>
  <c r="AV5" i="43" s="1"/>
  <c r="L12" i="43"/>
  <c r="O12" i="43" s="1"/>
  <c r="X5" i="43"/>
  <c r="L7" i="43"/>
  <c r="O7" i="43" s="1"/>
  <c r="V12" i="43"/>
  <c r="F14" i="43"/>
  <c r="U15" i="43"/>
  <c r="AV15" i="43" s="1"/>
  <c r="AA20" i="43"/>
  <c r="AD20" i="43" s="1"/>
  <c r="AA5" i="43"/>
  <c r="AD5" i="43" s="1"/>
  <c r="X12" i="43"/>
  <c r="AG12" i="43" s="1"/>
  <c r="X15" i="43"/>
  <c r="AG15" i="43" s="1"/>
  <c r="L22" i="43"/>
  <c r="O22" i="43" s="1"/>
  <c r="L24" i="43"/>
  <c r="O24" i="43" s="1"/>
  <c r="L28" i="43"/>
  <c r="O28" i="43" s="1"/>
  <c r="AV8" i="43"/>
  <c r="I6" i="43"/>
  <c r="AP6" i="43"/>
  <c r="AV12" i="43"/>
  <c r="O5" i="43"/>
  <c r="AJ5" i="43"/>
  <c r="AW20" i="43"/>
  <c r="M17" i="43"/>
  <c r="M6" i="43"/>
  <c r="G7" i="43"/>
  <c r="Y8" i="43"/>
  <c r="AH8" i="43" s="1"/>
  <c r="AW8" i="43"/>
  <c r="M12" i="43"/>
  <c r="G13" i="43"/>
  <c r="L31" i="43"/>
  <c r="AB16" i="43"/>
  <c r="AE16" i="43" s="1"/>
  <c r="Y16" i="43"/>
  <c r="AH16" i="43" s="1"/>
  <c r="G16" i="43"/>
  <c r="AJ24" i="43"/>
  <c r="V5" i="43"/>
  <c r="AW5" i="43" s="1"/>
  <c r="V9" i="43"/>
  <c r="AW9" i="43" s="1"/>
  <c r="AB14" i="43"/>
  <c r="AE14" i="43" s="1"/>
  <c r="Y14" i="43"/>
  <c r="AB15" i="43"/>
  <c r="AE15" i="43" s="1"/>
  <c r="Y15" i="43"/>
  <c r="G15" i="43"/>
  <c r="S15" i="43" s="1"/>
  <c r="O16" i="43"/>
  <c r="AJ16" i="43"/>
  <c r="AW17" i="43"/>
  <c r="AB21" i="43"/>
  <c r="AE21" i="43" s="1"/>
  <c r="Y21" i="43"/>
  <c r="AH21" i="43" s="1"/>
  <c r="G21" i="43"/>
  <c r="U22" i="43"/>
  <c r="U24" i="43"/>
  <c r="U28" i="43"/>
  <c r="M32" i="43"/>
  <c r="AB32" i="43"/>
  <c r="AE32" i="43" s="1"/>
  <c r="Y32" i="43"/>
  <c r="G32" i="43"/>
  <c r="M16" i="43"/>
  <c r="AB23" i="43"/>
  <c r="AE23" i="43" s="1"/>
  <c r="Y23" i="43"/>
  <c r="G23" i="43"/>
  <c r="S23" i="43" s="1"/>
  <c r="AB25" i="43"/>
  <c r="AE25" i="43" s="1"/>
  <c r="Y25" i="43"/>
  <c r="G25" i="43"/>
  <c r="S25" i="43" s="1"/>
  <c r="AB29" i="43"/>
  <c r="AE29" i="43" s="1"/>
  <c r="Y29" i="43"/>
  <c r="G29" i="43"/>
  <c r="S29" i="43" s="1"/>
  <c r="U31" i="43"/>
  <c r="AW14" i="43"/>
  <c r="O17" i="43"/>
  <c r="AJ17" i="43"/>
  <c r="R17" i="43" s="1"/>
  <c r="M31" i="43"/>
  <c r="AB31" i="43"/>
  <c r="AE31" i="43" s="1"/>
  <c r="Y31" i="43"/>
  <c r="G31" i="43"/>
  <c r="AP9" i="43"/>
  <c r="AJ13" i="43"/>
  <c r="R13" i="43" s="1"/>
  <c r="Y5" i="43"/>
  <c r="AH5" i="43" s="1"/>
  <c r="U6" i="43"/>
  <c r="M7" i="43"/>
  <c r="G8" i="43"/>
  <c r="Y9" i="43"/>
  <c r="AH9" i="43" s="1"/>
  <c r="M13" i="43"/>
  <c r="G14" i="43"/>
  <c r="AV16" i="43"/>
  <c r="L21" i="43"/>
  <c r="X22" i="43"/>
  <c r="AG22" i="43" s="1"/>
  <c r="F23" i="43"/>
  <c r="X24" i="43"/>
  <c r="AG24" i="43" s="1"/>
  <c r="F25" i="43"/>
  <c r="X28" i="43"/>
  <c r="AG28" i="43" s="1"/>
  <c r="F29" i="43"/>
  <c r="V31" i="43"/>
  <c r="AJ32" i="43"/>
  <c r="AB20" i="43"/>
  <c r="AE20" i="43" s="1"/>
  <c r="Y20" i="43"/>
  <c r="G20" i="43"/>
  <c r="AJ29" i="43"/>
  <c r="M33" i="43"/>
  <c r="AB33" i="43"/>
  <c r="AE33" i="43" s="1"/>
  <c r="Y33" i="43"/>
  <c r="AH33" i="43" s="1"/>
  <c r="G33" i="43"/>
  <c r="V16" i="43"/>
  <c r="G5" i="43"/>
  <c r="Y6" i="43"/>
  <c r="AH6" i="43" s="1"/>
  <c r="U7" i="43"/>
  <c r="M8" i="43"/>
  <c r="G9" i="43"/>
  <c r="Y12" i="43"/>
  <c r="AH12" i="43" s="1"/>
  <c r="AW12" i="43"/>
  <c r="U13" i="43"/>
  <c r="AV13" i="43" s="1"/>
  <c r="M14" i="43"/>
  <c r="P15" i="43"/>
  <c r="P23" i="43"/>
  <c r="P25" i="43"/>
  <c r="P29" i="43"/>
  <c r="V32" i="43"/>
  <c r="L33" i="43"/>
  <c r="I9" i="43"/>
  <c r="J79" i="43"/>
  <c r="AQ79" i="43"/>
  <c r="X7" i="43"/>
  <c r="AG7" i="43" s="1"/>
  <c r="X13" i="43"/>
  <c r="AG13" i="43" s="1"/>
  <c r="V15" i="43"/>
  <c r="M20" i="43"/>
  <c r="AG21" i="43"/>
  <c r="AB22" i="43"/>
  <c r="AE22" i="43" s="1"/>
  <c r="Y22" i="43"/>
  <c r="G22" i="43"/>
  <c r="S22" i="43" s="1"/>
  <c r="V23" i="43"/>
  <c r="AB24" i="43"/>
  <c r="AE24" i="43" s="1"/>
  <c r="Y24" i="43"/>
  <c r="G24" i="43"/>
  <c r="S24" i="43" s="1"/>
  <c r="V25" i="43"/>
  <c r="AB28" i="43"/>
  <c r="AE28" i="43" s="1"/>
  <c r="Y28" i="43"/>
  <c r="G28" i="43"/>
  <c r="V29" i="43"/>
  <c r="U33" i="43"/>
  <c r="AJ8" i="43"/>
  <c r="V7" i="43"/>
  <c r="AW7" i="43" s="1"/>
  <c r="V13" i="43"/>
  <c r="AW13" i="43" s="1"/>
  <c r="AB17" i="43"/>
  <c r="AE17" i="43" s="1"/>
  <c r="Y17" i="43"/>
  <c r="AH17" i="43" s="1"/>
  <c r="G17" i="43"/>
  <c r="AW30" i="43"/>
  <c r="M30" i="43"/>
  <c r="AB30" i="43"/>
  <c r="AE30" i="43" s="1"/>
  <c r="Y30" i="43"/>
  <c r="G30" i="43"/>
  <c r="M5" i="43"/>
  <c r="G6" i="43"/>
  <c r="Y7" i="43"/>
  <c r="AH7" i="43" s="1"/>
  <c r="M9" i="43"/>
  <c r="G12" i="43"/>
  <c r="Y13" i="43"/>
  <c r="AH13" i="43" s="1"/>
  <c r="F22" i="43"/>
  <c r="X23" i="43"/>
  <c r="AG23" i="43" s="1"/>
  <c r="F24" i="43"/>
  <c r="X25" i="43"/>
  <c r="AG25" i="43" s="1"/>
  <c r="F28" i="43"/>
  <c r="V33" i="43"/>
  <c r="AW33" i="43" s="1"/>
  <c r="AM79" i="43"/>
  <c r="AS79" i="43" s="1"/>
  <c r="AN79" i="43"/>
  <c r="AT79" i="43" s="1"/>
  <c r="AL39" i="42"/>
  <c r="AK39" i="42"/>
  <c r="AC39" i="42"/>
  <c r="AF39" i="42" s="1"/>
  <c r="AB39" i="42"/>
  <c r="AE39" i="42" s="1"/>
  <c r="Z39" i="42"/>
  <c r="AI39" i="42" s="1"/>
  <c r="Y39" i="42"/>
  <c r="AH39" i="42" s="1"/>
  <c r="W39" i="42"/>
  <c r="V39" i="42"/>
  <c r="AW39" i="42" s="1"/>
  <c r="Q39" i="42"/>
  <c r="N39" i="42"/>
  <c r="M39" i="42"/>
  <c r="P39" i="42" s="1"/>
  <c r="H39" i="42"/>
  <c r="G39" i="42"/>
  <c r="S39" i="42" s="1"/>
  <c r="E20" i="41"/>
  <c r="D20" i="41"/>
  <c r="E19" i="41"/>
  <c r="D19" i="41"/>
  <c r="D19" i="42" s="1"/>
  <c r="Y19" i="42" s="1"/>
  <c r="E18" i="41"/>
  <c r="E18" i="42" s="1"/>
  <c r="D18" i="41"/>
  <c r="E17" i="41"/>
  <c r="D17" i="41"/>
  <c r="E14" i="41"/>
  <c r="D14" i="41"/>
  <c r="E13" i="41"/>
  <c r="D13" i="41"/>
  <c r="E12" i="41"/>
  <c r="D12" i="41"/>
  <c r="D12" i="42" s="1"/>
  <c r="E11" i="41"/>
  <c r="D11" i="41"/>
  <c r="E5" i="41"/>
  <c r="E6" i="41"/>
  <c r="E7" i="41"/>
  <c r="H7" i="41" s="1"/>
  <c r="K7" i="41" s="1"/>
  <c r="E8" i="41"/>
  <c r="H8" i="41" s="1"/>
  <c r="AR8" i="41" s="1"/>
  <c r="D6" i="41"/>
  <c r="D6" i="42" s="1"/>
  <c r="D7" i="41"/>
  <c r="D8" i="41"/>
  <c r="D5" i="41"/>
  <c r="AX39" i="41"/>
  <c r="AI39" i="41"/>
  <c r="AH39" i="41"/>
  <c r="AF39" i="41"/>
  <c r="AE39" i="41"/>
  <c r="AC39" i="41"/>
  <c r="AB39" i="41"/>
  <c r="Z39" i="41"/>
  <c r="Y39" i="41"/>
  <c r="W39" i="41"/>
  <c r="AO39" i="41" s="1"/>
  <c r="AU39" i="41" s="1"/>
  <c r="V39" i="41"/>
  <c r="AW39" i="41" s="1"/>
  <c r="P39" i="41"/>
  <c r="N39" i="41"/>
  <c r="AL39" i="41" s="1"/>
  <c r="T39" i="41" s="1"/>
  <c r="M39" i="41"/>
  <c r="AK39" i="41" s="1"/>
  <c r="S39" i="41" s="1"/>
  <c r="H39" i="41"/>
  <c r="K39" i="41" s="1"/>
  <c r="G39" i="41"/>
  <c r="AQ39" i="41" s="1"/>
  <c r="W20" i="41"/>
  <c r="AX20" i="41" s="1"/>
  <c r="V20" i="41"/>
  <c r="AW20" i="41" s="1"/>
  <c r="AB19" i="41"/>
  <c r="AE19" i="41" s="1"/>
  <c r="Y19" i="41"/>
  <c r="V19" i="41"/>
  <c r="AW19" i="41" s="1"/>
  <c r="M19" i="41"/>
  <c r="G19" i="41"/>
  <c r="AQ19" i="41" s="1"/>
  <c r="Y18" i="41"/>
  <c r="AC18" i="41"/>
  <c r="AF18" i="41" s="1"/>
  <c r="AB18" i="41"/>
  <c r="AE18" i="41" s="1"/>
  <c r="AC17" i="41"/>
  <c r="AF17" i="41" s="1"/>
  <c r="AB17" i="41"/>
  <c r="AE17" i="41" s="1"/>
  <c r="Z17" i="41"/>
  <c r="AI17" i="41" s="1"/>
  <c r="Y17" i="41"/>
  <c r="AH17" i="41" s="1"/>
  <c r="W17" i="41"/>
  <c r="H17" i="41"/>
  <c r="K17" i="41" s="1"/>
  <c r="G17" i="41"/>
  <c r="J17" i="41" s="1"/>
  <c r="AC14" i="41"/>
  <c r="AF14" i="41" s="1"/>
  <c r="AC13" i="41"/>
  <c r="AF13" i="41" s="1"/>
  <c r="AB13" i="41"/>
  <c r="AE13" i="41" s="1"/>
  <c r="Z13" i="41"/>
  <c r="Y13" i="41"/>
  <c r="AH13" i="41" s="1"/>
  <c r="W13" i="41"/>
  <c r="V13" i="41"/>
  <c r="AW13" i="41" s="1"/>
  <c r="N13" i="41"/>
  <c r="AL13" i="41" s="1"/>
  <c r="D17" i="37"/>
  <c r="C17" i="37"/>
  <c r="C20" i="37"/>
  <c r="D17" i="28"/>
  <c r="D17" i="23"/>
  <c r="D17" i="27"/>
  <c r="D16" i="23"/>
  <c r="D33" i="13"/>
  <c r="AL39" i="40"/>
  <c r="AK39" i="40"/>
  <c r="AC39" i="40"/>
  <c r="AF39" i="40" s="1"/>
  <c r="AB39" i="40"/>
  <c r="Z39" i="40"/>
  <c r="AI39" i="40" s="1"/>
  <c r="Y39" i="40"/>
  <c r="W39" i="40"/>
  <c r="AX39" i="40" s="1"/>
  <c r="V39" i="40"/>
  <c r="AW39" i="40" s="1"/>
  <c r="S39" i="40"/>
  <c r="Q39" i="40"/>
  <c r="P39" i="40"/>
  <c r="N39" i="40"/>
  <c r="M39" i="40"/>
  <c r="H39" i="40"/>
  <c r="G39" i="40"/>
  <c r="Y13" i="40"/>
  <c r="V13" i="40"/>
  <c r="E20" i="38"/>
  <c r="E20" i="40" s="1"/>
  <c r="N20" i="40" s="1"/>
  <c r="AL20" i="40" s="1"/>
  <c r="D20" i="38"/>
  <c r="D20" i="40" s="1"/>
  <c r="E19" i="38"/>
  <c r="E19" i="40" s="1"/>
  <c r="D19" i="38"/>
  <c r="D19" i="40" s="1"/>
  <c r="E18" i="38"/>
  <c r="E18" i="40" s="1"/>
  <c r="Z18" i="40" s="1"/>
  <c r="D18" i="38"/>
  <c r="D18" i="40" s="1"/>
  <c r="E17" i="38"/>
  <c r="E17" i="40" s="1"/>
  <c r="W17" i="40" s="1"/>
  <c r="D17" i="38"/>
  <c r="D17" i="40" s="1"/>
  <c r="E14" i="38"/>
  <c r="E14" i="40" s="1"/>
  <c r="H14" i="40" s="1"/>
  <c r="K14" i="40" s="1"/>
  <c r="D14" i="38"/>
  <c r="D14" i="40" s="1"/>
  <c r="G14" i="40" s="1"/>
  <c r="E13" i="38"/>
  <c r="E13" i="40" s="1"/>
  <c r="W13" i="40" s="1"/>
  <c r="E12" i="38"/>
  <c r="E12" i="40" s="1"/>
  <c r="D12" i="38"/>
  <c r="D12" i="40" s="1"/>
  <c r="E11" i="38"/>
  <c r="E11" i="40" s="1"/>
  <c r="N11" i="40" s="1"/>
  <c r="D11" i="38"/>
  <c r="D11" i="40" s="1"/>
  <c r="E8" i="38"/>
  <c r="E8" i="40" s="1"/>
  <c r="H8" i="40" s="1"/>
  <c r="D8" i="38"/>
  <c r="D8" i="40" s="1"/>
  <c r="G8" i="40" s="1"/>
  <c r="E7" i="38"/>
  <c r="E7" i="40" s="1"/>
  <c r="D7" i="38"/>
  <c r="D7" i="40" s="1"/>
  <c r="D6" i="38"/>
  <c r="D6" i="40" s="1"/>
  <c r="D5" i="38"/>
  <c r="D5" i="40" s="1"/>
  <c r="Y5" i="40" s="1"/>
  <c r="AM32" i="43" l="1"/>
  <c r="AJ9" i="43"/>
  <c r="R9" i="43" s="1"/>
  <c r="R16" i="43"/>
  <c r="AM23" i="43"/>
  <c r="AS23" i="43" s="1"/>
  <c r="I5" i="43"/>
  <c r="AH20" i="43"/>
  <c r="AH31" i="43"/>
  <c r="AN8" i="43"/>
  <c r="AT8" i="43" s="1"/>
  <c r="AJ14" i="43"/>
  <c r="R14" i="43" s="1"/>
  <c r="AM25" i="43"/>
  <c r="AS25" i="43" s="1"/>
  <c r="AJ25" i="43"/>
  <c r="AH25" i="43"/>
  <c r="AN25" i="43" s="1"/>
  <c r="AT25" i="43" s="1"/>
  <c r="AJ30" i="43"/>
  <c r="R30" i="43" s="1"/>
  <c r="AP21" i="43"/>
  <c r="AH23" i="43"/>
  <c r="AN23" i="43" s="1"/>
  <c r="AT23" i="43" s="1"/>
  <c r="AM15" i="43"/>
  <c r="AS15" i="43" s="1"/>
  <c r="AM12" i="43"/>
  <c r="AS12" i="43" s="1"/>
  <c r="AH15" i="43"/>
  <c r="AN15" i="43" s="1"/>
  <c r="AT15" i="43" s="1"/>
  <c r="AM14" i="43"/>
  <c r="AS14" i="43" s="1"/>
  <c r="R15" i="43"/>
  <c r="I16" i="43"/>
  <c r="AJ7" i="43"/>
  <c r="R7" i="43" s="1"/>
  <c r="AG6" i="43"/>
  <c r="AM6" i="43" s="1"/>
  <c r="AS6" i="43" s="1"/>
  <c r="AN6" i="43"/>
  <c r="AT6" i="43" s="1"/>
  <c r="O15" i="43"/>
  <c r="AM30" i="43"/>
  <c r="AS30" i="43" s="1"/>
  <c r="AP33" i="43"/>
  <c r="AM21" i="43"/>
  <c r="AS21" i="43" s="1"/>
  <c r="AM29" i="43"/>
  <c r="AS29" i="43" s="1"/>
  <c r="R32" i="43"/>
  <c r="AP32" i="43"/>
  <c r="AM7" i="43"/>
  <c r="AS7" i="43" s="1"/>
  <c r="AG5" i="43"/>
  <c r="AM5" i="43" s="1"/>
  <c r="AS5" i="43" s="1"/>
  <c r="AP30" i="43"/>
  <c r="P28" i="43"/>
  <c r="AJ23" i="43"/>
  <c r="R23" i="43" s="1"/>
  <c r="AH14" i="43"/>
  <c r="AN14" i="43" s="1"/>
  <c r="AT14" i="43" s="1"/>
  <c r="P24" i="43"/>
  <c r="AH28" i="43"/>
  <c r="AN28" i="43" s="1"/>
  <c r="AT28" i="43" s="1"/>
  <c r="P22" i="43"/>
  <c r="AM16" i="43"/>
  <c r="AS16" i="43" s="1"/>
  <c r="AK21" i="43"/>
  <c r="S21" i="43" s="1"/>
  <c r="P21" i="43"/>
  <c r="I12" i="43"/>
  <c r="AY12" i="43" s="1"/>
  <c r="BB12" i="43" s="1"/>
  <c r="AP12" i="43"/>
  <c r="AP31" i="43"/>
  <c r="AG8" i="43"/>
  <c r="AM8" i="43" s="1"/>
  <c r="AS8" i="43" s="1"/>
  <c r="AJ20" i="43"/>
  <c r="R20" i="43" s="1"/>
  <c r="AN16" i="43"/>
  <c r="AT16" i="43" s="1"/>
  <c r="AJ22" i="43"/>
  <c r="R22" i="43" s="1"/>
  <c r="AV7" i="43"/>
  <c r="I7" i="43"/>
  <c r="AP7" i="43"/>
  <c r="AG20" i="43"/>
  <c r="AM20" i="43" s="1"/>
  <c r="AS20" i="43" s="1"/>
  <c r="AP8" i="43"/>
  <c r="I8" i="43"/>
  <c r="AJ28" i="43"/>
  <c r="R28" i="43" s="1"/>
  <c r="I15" i="43"/>
  <c r="AP15" i="43"/>
  <c r="AG9" i="43"/>
  <c r="AM9" i="43" s="1"/>
  <c r="AS9" i="43" s="1"/>
  <c r="AN12" i="43"/>
  <c r="AT12" i="43" s="1"/>
  <c r="I20" i="43"/>
  <c r="AJ6" i="43"/>
  <c r="R6" i="43" s="1"/>
  <c r="I17" i="43"/>
  <c r="AP17" i="43"/>
  <c r="AN31" i="43"/>
  <c r="AT31" i="43" s="1"/>
  <c r="AJ12" i="43"/>
  <c r="R12" i="43" s="1"/>
  <c r="I14" i="43"/>
  <c r="AY14" i="43" s="1"/>
  <c r="BB14" i="43" s="1"/>
  <c r="AP14" i="43"/>
  <c r="R8" i="43"/>
  <c r="AH29" i="43"/>
  <c r="AN29" i="43" s="1"/>
  <c r="AT29" i="43" s="1"/>
  <c r="R5" i="43"/>
  <c r="AG17" i="43"/>
  <c r="AM17" i="43" s="1"/>
  <c r="AS17" i="43" s="1"/>
  <c r="AK32" i="43"/>
  <c r="S32" i="43" s="1"/>
  <c r="P32" i="43"/>
  <c r="AK20" i="43"/>
  <c r="S20" i="43" s="1"/>
  <c r="P20" i="43"/>
  <c r="J17" i="43"/>
  <c r="AQ17" i="43"/>
  <c r="AK16" i="43"/>
  <c r="S16" i="43" s="1"/>
  <c r="P16" i="43"/>
  <c r="AK7" i="43"/>
  <c r="S7" i="43" s="1"/>
  <c r="P7" i="43"/>
  <c r="AN13" i="43"/>
  <c r="AT13" i="43" s="1"/>
  <c r="J24" i="43"/>
  <c r="AQ24" i="43"/>
  <c r="J5" i="43"/>
  <c r="AQ5" i="43"/>
  <c r="AW16" i="43"/>
  <c r="AV6" i="43"/>
  <c r="AK30" i="43"/>
  <c r="S30" i="43" s="1"/>
  <c r="P30" i="43"/>
  <c r="J28" i="43"/>
  <c r="AQ28" i="43"/>
  <c r="J33" i="43"/>
  <c r="AQ33" i="43"/>
  <c r="J8" i="43"/>
  <c r="AQ8" i="43"/>
  <c r="AK33" i="43"/>
  <c r="S33" i="43" s="1"/>
  <c r="P33" i="43"/>
  <c r="I28" i="43"/>
  <c r="AP28" i="43"/>
  <c r="AN7" i="43"/>
  <c r="AT7" i="43" s="1"/>
  <c r="AH24" i="43"/>
  <c r="AN24" i="43" s="1"/>
  <c r="AT24" i="43" s="1"/>
  <c r="I23" i="43"/>
  <c r="AP23" i="43"/>
  <c r="AK31" i="43"/>
  <c r="S31" i="43" s="1"/>
  <c r="P31" i="43"/>
  <c r="AW29" i="43"/>
  <c r="AM22" i="43"/>
  <c r="AS22" i="43" s="1"/>
  <c r="AV22" i="43"/>
  <c r="AN9" i="43"/>
  <c r="AT9" i="43" s="1"/>
  <c r="AK6" i="43"/>
  <c r="S6" i="43" s="1"/>
  <c r="P6" i="43"/>
  <c r="J20" i="43"/>
  <c r="AQ20" i="43"/>
  <c r="O31" i="43"/>
  <c r="AJ31" i="43"/>
  <c r="R31" i="43" s="1"/>
  <c r="J31" i="43"/>
  <c r="AQ31" i="43"/>
  <c r="I25" i="43"/>
  <c r="AP25" i="43"/>
  <c r="AK17" i="43"/>
  <c r="S17" i="43" s="1"/>
  <c r="P17" i="43"/>
  <c r="J6" i="43"/>
  <c r="AQ6" i="43"/>
  <c r="AZ79" i="43"/>
  <c r="BC79" i="43" s="1"/>
  <c r="R29" i="43"/>
  <c r="AW31" i="43"/>
  <c r="J25" i="43"/>
  <c r="AQ25" i="43"/>
  <c r="J21" i="43"/>
  <c r="AQ21" i="43"/>
  <c r="AN5" i="43"/>
  <c r="AT5" i="43" s="1"/>
  <c r="S28" i="43"/>
  <c r="J15" i="43"/>
  <c r="AQ15" i="43"/>
  <c r="AN33" i="43"/>
  <c r="AT33" i="43" s="1"/>
  <c r="AW15" i="43"/>
  <c r="I29" i="43"/>
  <c r="AY29" i="43" s="1"/>
  <c r="BB29" i="43" s="1"/>
  <c r="AP29" i="43"/>
  <c r="J29" i="43"/>
  <c r="AQ29" i="43"/>
  <c r="AK9" i="43"/>
  <c r="S9" i="43" s="1"/>
  <c r="P9" i="43"/>
  <c r="AM24" i="43"/>
  <c r="AS24" i="43" s="1"/>
  <c r="AV24" i="43"/>
  <c r="I24" i="43"/>
  <c r="AP24" i="43"/>
  <c r="AK5" i="43"/>
  <c r="S5" i="43" s="1"/>
  <c r="P5" i="43"/>
  <c r="AW23" i="43"/>
  <c r="AK14" i="43"/>
  <c r="S14" i="43" s="1"/>
  <c r="P14" i="43"/>
  <c r="J32" i="43"/>
  <c r="AQ32" i="43"/>
  <c r="R24" i="43"/>
  <c r="J13" i="43"/>
  <c r="AQ13" i="43"/>
  <c r="AK8" i="43"/>
  <c r="S8" i="43" s="1"/>
  <c r="P8" i="43"/>
  <c r="AM31" i="43"/>
  <c r="AV31" i="43"/>
  <c r="AM28" i="43"/>
  <c r="AS28" i="43" s="1"/>
  <c r="AV28" i="43"/>
  <c r="J12" i="43"/>
  <c r="AQ12" i="43"/>
  <c r="AW25" i="43"/>
  <c r="J30" i="43"/>
  <c r="AQ30" i="43"/>
  <c r="AY79" i="43"/>
  <c r="BB79" i="43" s="1"/>
  <c r="J22" i="43"/>
  <c r="AQ22" i="43"/>
  <c r="AM13" i="43"/>
  <c r="R25" i="43"/>
  <c r="O21" i="43"/>
  <c r="AJ21" i="43"/>
  <c r="R21" i="43" s="1"/>
  <c r="AH32" i="43"/>
  <c r="AN32" i="43" s="1"/>
  <c r="AT32" i="43" s="1"/>
  <c r="AK12" i="43"/>
  <c r="S12" i="43" s="1"/>
  <c r="P12" i="43"/>
  <c r="AN20" i="43"/>
  <c r="AT20" i="43" s="1"/>
  <c r="AN21" i="43"/>
  <c r="AT21" i="43" s="1"/>
  <c r="J14" i="43"/>
  <c r="AQ14" i="43"/>
  <c r="I22" i="43"/>
  <c r="AY22" i="43" s="1"/>
  <c r="BB22" i="43" s="1"/>
  <c r="AP22" i="43"/>
  <c r="AH30" i="43"/>
  <c r="AN30" i="43" s="1"/>
  <c r="AT30" i="43" s="1"/>
  <c r="AV33" i="43"/>
  <c r="AM33" i="43"/>
  <c r="AH22" i="43"/>
  <c r="AN22" i="43" s="1"/>
  <c r="AT22" i="43" s="1"/>
  <c r="J23" i="43"/>
  <c r="AQ23" i="43"/>
  <c r="J16" i="43"/>
  <c r="AQ16" i="43"/>
  <c r="AN17" i="43"/>
  <c r="AT17" i="43" s="1"/>
  <c r="O33" i="43"/>
  <c r="AJ33" i="43"/>
  <c r="R33" i="43" s="1"/>
  <c r="J9" i="43"/>
  <c r="AQ9" i="43"/>
  <c r="AK13" i="43"/>
  <c r="S13" i="43" s="1"/>
  <c r="P13" i="43"/>
  <c r="AW32" i="43"/>
  <c r="J7" i="43"/>
  <c r="AQ7" i="43"/>
  <c r="AI13" i="41"/>
  <c r="E13" i="42"/>
  <c r="H13" i="41"/>
  <c r="E12" i="42"/>
  <c r="N12" i="41"/>
  <c r="AL12" i="41" s="1"/>
  <c r="H12" i="41"/>
  <c r="E11" i="42"/>
  <c r="AC11" i="41"/>
  <c r="AF11" i="41" s="1"/>
  <c r="Z11" i="41"/>
  <c r="AI11" i="41" s="1"/>
  <c r="W11" i="41"/>
  <c r="AX11" i="41" s="1"/>
  <c r="N11" i="41"/>
  <c r="AL11" i="41" s="1"/>
  <c r="H11" i="41"/>
  <c r="K11" i="41" s="1"/>
  <c r="AB11" i="41"/>
  <c r="AE11" i="41" s="1"/>
  <c r="M11" i="41"/>
  <c r="AK11" i="41" s="1"/>
  <c r="G11" i="41"/>
  <c r="AQ11" i="41" s="1"/>
  <c r="AB7" i="41"/>
  <c r="AE7" i="41" s="1"/>
  <c r="Y7" i="41"/>
  <c r="AH7" i="41" s="1"/>
  <c r="M7" i="41"/>
  <c r="G7" i="41"/>
  <c r="AQ7" i="41" s="1"/>
  <c r="D8" i="42"/>
  <c r="AB8" i="41"/>
  <c r="AE8" i="41" s="1"/>
  <c r="Y8" i="41"/>
  <c r="AH8" i="41" s="1"/>
  <c r="AN8" i="41" s="1"/>
  <c r="AT8" i="41" s="1"/>
  <c r="V8" i="41"/>
  <c r="M8" i="41"/>
  <c r="P8" i="41" s="1"/>
  <c r="G8" i="41"/>
  <c r="AQ8" i="41" s="1"/>
  <c r="D5" i="42"/>
  <c r="G5" i="42" s="1"/>
  <c r="AB5" i="41"/>
  <c r="AE5" i="41" s="1"/>
  <c r="D17" i="36"/>
  <c r="I12" i="35" s="1"/>
  <c r="I12" i="34"/>
  <c r="C17" i="36"/>
  <c r="D12" i="35" s="1"/>
  <c r="D12" i="34"/>
  <c r="C20" i="36"/>
  <c r="E7" i="35" s="1"/>
  <c r="E7" i="34"/>
  <c r="AW8" i="41"/>
  <c r="N20" i="41"/>
  <c r="E20" i="42"/>
  <c r="N20" i="42" s="1"/>
  <c r="M20" i="41"/>
  <c r="D20" i="42"/>
  <c r="Z19" i="41"/>
  <c r="E19" i="42"/>
  <c r="W19" i="42" s="1"/>
  <c r="M18" i="41"/>
  <c r="P18" i="41" s="1"/>
  <c r="D18" i="42"/>
  <c r="N17" i="41"/>
  <c r="AL17" i="41" s="1"/>
  <c r="T17" i="41" s="1"/>
  <c r="E17" i="42"/>
  <c r="Z17" i="42" s="1"/>
  <c r="V17" i="41"/>
  <c r="D17" i="42"/>
  <c r="Z14" i="41"/>
  <c r="AI14" i="41" s="1"/>
  <c r="E14" i="42"/>
  <c r="Z14" i="42" s="1"/>
  <c r="AB14" i="41"/>
  <c r="AE14" i="41" s="1"/>
  <c r="D14" i="42"/>
  <c r="N13" i="42"/>
  <c r="W13" i="42"/>
  <c r="AC13" i="42"/>
  <c r="AF13" i="42" s="1"/>
  <c r="M13" i="41"/>
  <c r="D13" i="42"/>
  <c r="Y11" i="41"/>
  <c r="AH11" i="41" s="1"/>
  <c r="AN11" i="41" s="1"/>
  <c r="AT11" i="41" s="1"/>
  <c r="D11" i="42"/>
  <c r="AC5" i="41"/>
  <c r="AF5" i="41" s="1"/>
  <c r="E5" i="42"/>
  <c r="Z5" i="42" s="1"/>
  <c r="AC6" i="41"/>
  <c r="AF6" i="41" s="1"/>
  <c r="E6" i="42"/>
  <c r="AC7" i="41"/>
  <c r="AF7" i="41" s="1"/>
  <c r="E7" i="42"/>
  <c r="AC8" i="41"/>
  <c r="AF8" i="41" s="1"/>
  <c r="E8" i="42"/>
  <c r="V7" i="41"/>
  <c r="AW7" i="41" s="1"/>
  <c r="D7" i="42"/>
  <c r="Y7" i="42" s="1"/>
  <c r="Y8" i="42"/>
  <c r="V8" i="42"/>
  <c r="P19" i="41"/>
  <c r="AK19" i="41"/>
  <c r="P7" i="41"/>
  <c r="AK7" i="41"/>
  <c r="AB20" i="40"/>
  <c r="AE20" i="40" s="1"/>
  <c r="M20" i="40"/>
  <c r="AK20" i="40" s="1"/>
  <c r="V20" i="40"/>
  <c r="Y20" i="40"/>
  <c r="AH20" i="40" s="1"/>
  <c r="AW20" i="40"/>
  <c r="AX19" i="42"/>
  <c r="Z13" i="42"/>
  <c r="AI13" i="42" s="1"/>
  <c r="AC14" i="42"/>
  <c r="W14" i="42"/>
  <c r="AC7" i="42"/>
  <c r="AF7" i="42" s="1"/>
  <c r="H5" i="42"/>
  <c r="K5" i="42" s="1"/>
  <c r="V7" i="42"/>
  <c r="G8" i="42"/>
  <c r="M11" i="42"/>
  <c r="AB11" i="42"/>
  <c r="AE11" i="42" s="1"/>
  <c r="Y11" i="42"/>
  <c r="V11" i="42"/>
  <c r="AC11" i="42"/>
  <c r="AF11" i="42" s="1"/>
  <c r="W11" i="42"/>
  <c r="AX11" i="42" s="1"/>
  <c r="N11" i="42"/>
  <c r="H11" i="42"/>
  <c r="AC6" i="42"/>
  <c r="AF6" i="42" s="1"/>
  <c r="Z6" i="42"/>
  <c r="W6" i="42"/>
  <c r="G11" i="42"/>
  <c r="AC18" i="42"/>
  <c r="AF18" i="42" s="1"/>
  <c r="Z18" i="42"/>
  <c r="H18" i="42"/>
  <c r="W18" i="42"/>
  <c r="AX39" i="42"/>
  <c r="AO39" i="42"/>
  <c r="AU39" i="42" s="1"/>
  <c r="Z11" i="42"/>
  <c r="M5" i="42"/>
  <c r="AB5" i="42"/>
  <c r="AE5" i="42" s="1"/>
  <c r="Y5" i="42"/>
  <c r="AH5" i="42" s="1"/>
  <c r="V5" i="42"/>
  <c r="H6" i="42"/>
  <c r="N18" i="42"/>
  <c r="AC5" i="42"/>
  <c r="AF5" i="42" s="1"/>
  <c r="W5" i="42"/>
  <c r="AX5" i="42" s="1"/>
  <c r="N5" i="42"/>
  <c r="N6" i="42"/>
  <c r="J5" i="42"/>
  <c r="AQ5" i="42"/>
  <c r="AX13" i="42"/>
  <c r="M17" i="42"/>
  <c r="AB17" i="42"/>
  <c r="AE17" i="42" s="1"/>
  <c r="Y17" i="42"/>
  <c r="V17" i="42"/>
  <c r="AW17" i="42" s="1"/>
  <c r="AR5" i="42"/>
  <c r="AC17" i="42"/>
  <c r="AF17" i="42" s="1"/>
  <c r="W17" i="42"/>
  <c r="H17" i="42"/>
  <c r="N17" i="42"/>
  <c r="Q13" i="42"/>
  <c r="AL13" i="42"/>
  <c r="G17" i="42"/>
  <c r="AC20" i="42"/>
  <c r="AF20" i="42" s="1"/>
  <c r="Z20" i="42"/>
  <c r="AI20" i="42" s="1"/>
  <c r="H20" i="42"/>
  <c r="W20" i="42"/>
  <c r="Q20" i="42"/>
  <c r="AL20" i="42"/>
  <c r="M19" i="42"/>
  <c r="AB19" i="42"/>
  <c r="AE19" i="42" s="1"/>
  <c r="G19" i="42"/>
  <c r="J39" i="42"/>
  <c r="T39" i="42"/>
  <c r="K39" i="42"/>
  <c r="BA39" i="42" s="1"/>
  <c r="BD39" i="42" s="1"/>
  <c r="AW7" i="42"/>
  <c r="M7" i="42"/>
  <c r="AB7" i="42"/>
  <c r="AE7" i="42" s="1"/>
  <c r="H8" i="42"/>
  <c r="M13" i="42"/>
  <c r="AB13" i="42"/>
  <c r="AE13" i="42" s="1"/>
  <c r="H14" i="42"/>
  <c r="N19" i="42"/>
  <c r="AN39" i="42"/>
  <c r="AT39" i="42" s="1"/>
  <c r="AW8" i="42"/>
  <c r="M8" i="42"/>
  <c r="AB8" i="42"/>
  <c r="AE8" i="42" s="1"/>
  <c r="M14" i="42"/>
  <c r="AB14" i="42"/>
  <c r="AE14" i="42" s="1"/>
  <c r="AC19" i="42"/>
  <c r="AF19" i="42" s="1"/>
  <c r="Z19" i="42"/>
  <c r="H19" i="42"/>
  <c r="N8" i="42"/>
  <c r="N14" i="42"/>
  <c r="G7" i="42"/>
  <c r="G13" i="42"/>
  <c r="AQ39" i="42"/>
  <c r="H7" i="42"/>
  <c r="H13" i="42"/>
  <c r="AO13" i="42" s="1"/>
  <c r="AU13" i="42" s="1"/>
  <c r="AX14" i="42"/>
  <c r="V19" i="42"/>
  <c r="M20" i="42"/>
  <c r="AB20" i="42"/>
  <c r="AE20" i="42" s="1"/>
  <c r="AR39" i="42"/>
  <c r="P20" i="41"/>
  <c r="AK20" i="41"/>
  <c r="AN17" i="41"/>
  <c r="AT17" i="41" s="1"/>
  <c r="AW17" i="41"/>
  <c r="Q20" i="41"/>
  <c r="AL20" i="41"/>
  <c r="AC19" i="41"/>
  <c r="AF19" i="41" s="1"/>
  <c r="H19" i="41"/>
  <c r="AH19" i="41"/>
  <c r="AN19" i="41" s="1"/>
  <c r="J19" i="41"/>
  <c r="S19" i="41"/>
  <c r="Y20" i="41"/>
  <c r="Z20" i="41"/>
  <c r="N19" i="41"/>
  <c r="AB20" i="41"/>
  <c r="AE20" i="41" s="1"/>
  <c r="G20" i="41"/>
  <c r="AC20" i="41"/>
  <c r="AF20" i="41" s="1"/>
  <c r="H20" i="41"/>
  <c r="M17" i="41"/>
  <c r="AK17" i="41" s="1"/>
  <c r="S17" i="41" s="1"/>
  <c r="W19" i="41"/>
  <c r="G18" i="41"/>
  <c r="AQ18" i="41" s="1"/>
  <c r="AK13" i="41"/>
  <c r="P13" i="41"/>
  <c r="Q13" i="41"/>
  <c r="AO13" i="41"/>
  <c r="AU13" i="41" s="1"/>
  <c r="M14" i="41"/>
  <c r="S11" i="41"/>
  <c r="N14" i="41"/>
  <c r="T11" i="41"/>
  <c r="V14" i="41"/>
  <c r="AW14" i="41" s="1"/>
  <c r="P11" i="41"/>
  <c r="W14" i="41"/>
  <c r="V11" i="41"/>
  <c r="AW11" i="41" s="1"/>
  <c r="G13" i="41"/>
  <c r="J13" i="41" s="1"/>
  <c r="Y14" i="41"/>
  <c r="AH14" i="41" s="1"/>
  <c r="AN14" i="41" s="1"/>
  <c r="G14" i="41"/>
  <c r="H14" i="41"/>
  <c r="AO11" i="41"/>
  <c r="AU11" i="41" s="1"/>
  <c r="N7" i="41"/>
  <c r="K8" i="41"/>
  <c r="H5" i="41"/>
  <c r="K5" i="41" s="1"/>
  <c r="W7" i="41"/>
  <c r="N8" i="41"/>
  <c r="N5" i="41"/>
  <c r="AL5" i="41" s="1"/>
  <c r="W5" i="41"/>
  <c r="Z7" i="41"/>
  <c r="AI7" i="41" s="1"/>
  <c r="W8" i="41"/>
  <c r="AX8" i="41" s="1"/>
  <c r="Z5" i="41"/>
  <c r="AI5" i="41" s="1"/>
  <c r="Z8" i="41"/>
  <c r="AI8" i="41" s="1"/>
  <c r="J7" i="41"/>
  <c r="S7" i="41"/>
  <c r="AK8" i="41"/>
  <c r="S8" i="41" s="1"/>
  <c r="J8" i="41"/>
  <c r="G5" i="41"/>
  <c r="J5" i="41" s="1"/>
  <c r="M5" i="41"/>
  <c r="P5" i="41" s="1"/>
  <c r="V5" i="41"/>
  <c r="Y5" i="41"/>
  <c r="AH5" i="41" s="1"/>
  <c r="BA39" i="41"/>
  <c r="BD39" i="41" s="1"/>
  <c r="AR12" i="41"/>
  <c r="K12" i="41"/>
  <c r="AO17" i="41"/>
  <c r="AH18" i="41"/>
  <c r="T12" i="41"/>
  <c r="AN39" i="41"/>
  <c r="AT39" i="41" s="1"/>
  <c r="N18" i="41"/>
  <c r="V12" i="41"/>
  <c r="AX17" i="41"/>
  <c r="AR39" i="41"/>
  <c r="AX5" i="41"/>
  <c r="W12" i="41"/>
  <c r="Y12" i="41"/>
  <c r="Q5" i="41"/>
  <c r="AR11" i="41"/>
  <c r="AN7" i="41"/>
  <c r="J11" i="41"/>
  <c r="AB12" i="41"/>
  <c r="AE12" i="41" s="1"/>
  <c r="AK18" i="41"/>
  <c r="J39" i="41"/>
  <c r="AZ39" i="41" s="1"/>
  <c r="BC39" i="41" s="1"/>
  <c r="N6" i="41"/>
  <c r="AR13" i="41"/>
  <c r="Z12" i="41"/>
  <c r="Q17" i="41"/>
  <c r="AC12" i="41"/>
  <c r="AF12" i="41" s="1"/>
  <c r="AX13" i="41"/>
  <c r="G12" i="41"/>
  <c r="V6" i="41"/>
  <c r="M12" i="41"/>
  <c r="V18" i="41"/>
  <c r="W6" i="41"/>
  <c r="AX6" i="41" s="1"/>
  <c r="AR7" i="41"/>
  <c r="W18" i="41"/>
  <c r="AX18" i="41" s="1"/>
  <c r="AQ17" i="41"/>
  <c r="H6" i="41"/>
  <c r="Z6" i="41"/>
  <c r="Q12" i="41"/>
  <c r="AR17" i="41"/>
  <c r="Z18" i="41"/>
  <c r="AI18" i="41" s="1"/>
  <c r="Q39" i="41"/>
  <c r="Q11" i="41"/>
  <c r="H18" i="41"/>
  <c r="AC17" i="40"/>
  <c r="AF17" i="40" s="1"/>
  <c r="N17" i="40"/>
  <c r="W20" i="40"/>
  <c r="AX20" i="40" s="1"/>
  <c r="AC18" i="40"/>
  <c r="N18" i="40"/>
  <c r="AL18" i="40" s="1"/>
  <c r="W18" i="40"/>
  <c r="AX18" i="40" s="1"/>
  <c r="AC13" i="40"/>
  <c r="AF13" i="40" s="1"/>
  <c r="N13" i="40"/>
  <c r="Y6" i="40"/>
  <c r="V5" i="40"/>
  <c r="Q11" i="40"/>
  <c r="AL11" i="40"/>
  <c r="K8" i="40"/>
  <c r="AR8" i="40"/>
  <c r="AB11" i="40"/>
  <c r="AE11" i="40" s="1"/>
  <c r="M11" i="40"/>
  <c r="G11" i="40"/>
  <c r="Y11" i="40"/>
  <c r="AH11" i="40" s="1"/>
  <c r="V11" i="40"/>
  <c r="AB7" i="40"/>
  <c r="AE7" i="40" s="1"/>
  <c r="M7" i="40"/>
  <c r="G7" i="40"/>
  <c r="AC7" i="40"/>
  <c r="AF7" i="40" s="1"/>
  <c r="H7" i="40"/>
  <c r="N7" i="40"/>
  <c r="V7" i="40"/>
  <c r="Y7" i="40"/>
  <c r="AC8" i="40"/>
  <c r="AF8" i="40" s="1"/>
  <c r="W8" i="40"/>
  <c r="AX8" i="40" s="1"/>
  <c r="N8" i="40"/>
  <c r="J14" i="40"/>
  <c r="AQ14" i="40"/>
  <c r="J8" i="40"/>
  <c r="AQ8" i="40"/>
  <c r="AC11" i="40"/>
  <c r="AF11" i="40" s="1"/>
  <c r="H11" i="40"/>
  <c r="Z11" i="40"/>
  <c r="AI11" i="40" s="1"/>
  <c r="W11" i="40"/>
  <c r="W7" i="40"/>
  <c r="Z8" i="40"/>
  <c r="Z7" i="40"/>
  <c r="AW5" i="40"/>
  <c r="AR14" i="40"/>
  <c r="AW13" i="40"/>
  <c r="AB17" i="40"/>
  <c r="AE17" i="40" s="1"/>
  <c r="M17" i="40"/>
  <c r="G17" i="40"/>
  <c r="Y17" i="40"/>
  <c r="AH17" i="40" s="1"/>
  <c r="V17" i="40"/>
  <c r="AW17" i="40" s="1"/>
  <c r="AE39" i="40"/>
  <c r="AH39" i="40"/>
  <c r="AN39" i="40" s="1"/>
  <c r="AT39" i="40" s="1"/>
  <c r="AB19" i="40"/>
  <c r="AE19" i="40" s="1"/>
  <c r="M19" i="40"/>
  <c r="G19" i="40"/>
  <c r="Y19" i="40"/>
  <c r="V19" i="40"/>
  <c r="P20" i="40"/>
  <c r="AQ39" i="40"/>
  <c r="J39" i="40"/>
  <c r="AB6" i="40"/>
  <c r="AE6" i="40" s="1"/>
  <c r="V6" i="40"/>
  <c r="AW6" i="40" s="1"/>
  <c r="M6" i="40"/>
  <c r="G6" i="40"/>
  <c r="AB14" i="40"/>
  <c r="AE14" i="40" s="1"/>
  <c r="V14" i="40"/>
  <c r="Y14" i="40"/>
  <c r="AH14" i="40" s="1"/>
  <c r="M14" i="40"/>
  <c r="Q18" i="40"/>
  <c r="AC19" i="40"/>
  <c r="AF19" i="40" s="1"/>
  <c r="Z19" i="40"/>
  <c r="AI19" i="40" s="1"/>
  <c r="H19" i="40"/>
  <c r="N19" i="40"/>
  <c r="W19" i="40"/>
  <c r="AX19" i="40" s="1"/>
  <c r="Q20" i="40"/>
  <c r="AB8" i="40"/>
  <c r="AE8" i="40" s="1"/>
  <c r="V8" i="40"/>
  <c r="Y8" i="40"/>
  <c r="AH8" i="40" s="1"/>
  <c r="AW8" i="40"/>
  <c r="M8" i="40"/>
  <c r="AC14" i="40"/>
  <c r="AF14" i="40" s="1"/>
  <c r="Z14" i="40"/>
  <c r="W14" i="40"/>
  <c r="AX14" i="40"/>
  <c r="N14" i="40"/>
  <c r="K39" i="40"/>
  <c r="BA39" i="40" s="1"/>
  <c r="BD39" i="40" s="1"/>
  <c r="AR39" i="40"/>
  <c r="AO39" i="40"/>
  <c r="AU39" i="40" s="1"/>
  <c r="AB5" i="40"/>
  <c r="AE5" i="40" s="1"/>
  <c r="M5" i="40"/>
  <c r="G5" i="40"/>
  <c r="AB13" i="40"/>
  <c r="AE13" i="40" s="1"/>
  <c r="M13" i="40"/>
  <c r="G13" i="40"/>
  <c r="H18" i="40"/>
  <c r="T39" i="40"/>
  <c r="Z13" i="40"/>
  <c r="AX13" i="40"/>
  <c r="AX17" i="40"/>
  <c r="Z17" i="40"/>
  <c r="AI17" i="40" s="1"/>
  <c r="H13" i="40"/>
  <c r="H17" i="40"/>
  <c r="AC20" i="40"/>
  <c r="AF20" i="40" s="1"/>
  <c r="Z20" i="40"/>
  <c r="H20" i="40"/>
  <c r="G20" i="40"/>
  <c r="S20" i="40" s="1"/>
  <c r="AL39" i="38"/>
  <c r="AK39" i="38"/>
  <c r="AC39" i="38"/>
  <c r="AF39" i="38" s="1"/>
  <c r="AB39" i="38"/>
  <c r="AE39" i="38" s="1"/>
  <c r="Z39" i="38"/>
  <c r="AI39" i="38" s="1"/>
  <c r="Y39" i="38"/>
  <c r="AH39" i="38" s="1"/>
  <c r="AN39" i="38" s="1"/>
  <c r="AT39" i="38" s="1"/>
  <c r="W39" i="38"/>
  <c r="V39" i="38"/>
  <c r="AW39" i="38" s="1"/>
  <c r="Q39" i="38"/>
  <c r="P39" i="38"/>
  <c r="N39" i="38"/>
  <c r="M39" i="38"/>
  <c r="H39" i="38"/>
  <c r="K39" i="38" s="1"/>
  <c r="G39" i="38"/>
  <c r="S39" i="38" s="1"/>
  <c r="V20" i="38"/>
  <c r="W19" i="38"/>
  <c r="V19" i="38"/>
  <c r="W14" i="38"/>
  <c r="G14" i="38"/>
  <c r="J14" i="38" s="1"/>
  <c r="Y14" i="38"/>
  <c r="W12" i="38"/>
  <c r="Y12" i="38"/>
  <c r="W11" i="38"/>
  <c r="W8" i="38"/>
  <c r="V8" i="38"/>
  <c r="Y6" i="38"/>
  <c r="L17" i="37"/>
  <c r="F17" i="37"/>
  <c r="AP17" i="37" s="1"/>
  <c r="U17" i="36"/>
  <c r="C33" i="37"/>
  <c r="D32" i="37"/>
  <c r="K11" i="34" s="1"/>
  <c r="K27" i="34" s="1"/>
  <c r="C32" i="37"/>
  <c r="D31" i="37"/>
  <c r="C31" i="37"/>
  <c r="D30" i="37"/>
  <c r="C30" i="37"/>
  <c r="F9" i="34" s="1"/>
  <c r="F25" i="34" s="1"/>
  <c r="D29" i="37"/>
  <c r="C29" i="37"/>
  <c r="D28" i="37"/>
  <c r="C28" i="37"/>
  <c r="D25" i="37"/>
  <c r="C25" i="37"/>
  <c r="D24" i="37"/>
  <c r="C24" i="37"/>
  <c r="D23" i="37"/>
  <c r="J10" i="34" s="1"/>
  <c r="C23" i="37"/>
  <c r="E10" i="34" s="1"/>
  <c r="AI10" i="34" s="1"/>
  <c r="D22" i="37"/>
  <c r="C22" i="37"/>
  <c r="D21" i="37"/>
  <c r="C21" i="37"/>
  <c r="D20" i="37"/>
  <c r="J7" i="34" s="1"/>
  <c r="J39" i="34" s="1"/>
  <c r="AN39" i="34" s="1"/>
  <c r="AA20" i="37"/>
  <c r="AD20" i="37" s="1"/>
  <c r="D16" i="37"/>
  <c r="I11" i="34" s="1"/>
  <c r="I19" i="34" s="1"/>
  <c r="C16" i="37"/>
  <c r="D15" i="37"/>
  <c r="C15" i="37"/>
  <c r="D14" i="37"/>
  <c r="I9" i="34" s="1"/>
  <c r="I33" i="34" s="1"/>
  <c r="C14" i="37"/>
  <c r="D13" i="37"/>
  <c r="C13" i="37"/>
  <c r="D12" i="37"/>
  <c r="C12" i="37"/>
  <c r="D6" i="37"/>
  <c r="D7" i="37"/>
  <c r="D8" i="37"/>
  <c r="D9" i="37"/>
  <c r="D5" i="37"/>
  <c r="H7" i="34" s="1"/>
  <c r="H31" i="34" s="1"/>
  <c r="C9" i="37"/>
  <c r="C6" i="37"/>
  <c r="C7" i="37"/>
  <c r="C8" i="37"/>
  <c r="C5" i="37"/>
  <c r="C7" i="34" s="1"/>
  <c r="AG7" i="34" s="1"/>
  <c r="AG15" i="34" s="1"/>
  <c r="AW61" i="37"/>
  <c r="AD61" i="37"/>
  <c r="AB61" i="37"/>
  <c r="AE61" i="37" s="1"/>
  <c r="AA61" i="37"/>
  <c r="Y61" i="37"/>
  <c r="X61" i="37"/>
  <c r="V61" i="37"/>
  <c r="U61" i="37"/>
  <c r="AV61" i="37" s="1"/>
  <c r="M61" i="37"/>
  <c r="L61" i="37"/>
  <c r="G61" i="37"/>
  <c r="J61" i="37" s="1"/>
  <c r="F61" i="37"/>
  <c r="AB61" i="36"/>
  <c r="AE61" i="36" s="1"/>
  <c r="Y61" i="36"/>
  <c r="M61" i="36"/>
  <c r="P61" i="36" s="1"/>
  <c r="L61" i="36"/>
  <c r="O61" i="36" s="1"/>
  <c r="G61" i="36"/>
  <c r="AQ61" i="36" s="1"/>
  <c r="D61" i="36"/>
  <c r="V61" i="36" s="1"/>
  <c r="C61" i="36"/>
  <c r="AA61" i="36" s="1"/>
  <c r="AD61" i="36" s="1"/>
  <c r="I28" i="35"/>
  <c r="AG52" i="35"/>
  <c r="AG44" i="35"/>
  <c r="W44" i="35"/>
  <c r="M44" i="35"/>
  <c r="C44" i="35"/>
  <c r="AB36" i="35"/>
  <c r="W36" i="35"/>
  <c r="R36" i="35"/>
  <c r="M36" i="35"/>
  <c r="I36" i="35"/>
  <c r="H36" i="35"/>
  <c r="C36" i="35"/>
  <c r="AB28" i="35"/>
  <c r="W28" i="35"/>
  <c r="R28" i="35"/>
  <c r="M28" i="35"/>
  <c r="H28" i="35"/>
  <c r="C28" i="35"/>
  <c r="AB20" i="35"/>
  <c r="W20" i="35"/>
  <c r="W52" i="35" s="1"/>
  <c r="R20" i="35"/>
  <c r="M20" i="35"/>
  <c r="M52" i="35" s="1"/>
  <c r="H20" i="35"/>
  <c r="C20" i="35"/>
  <c r="C52" i="35" s="1"/>
  <c r="AY8" i="35"/>
  <c r="AW8" i="35"/>
  <c r="AY7" i="35"/>
  <c r="AW7" i="35"/>
  <c r="B3" i="35"/>
  <c r="B5" i="35" s="1"/>
  <c r="I20" i="34"/>
  <c r="AH12" i="34"/>
  <c r="AH28" i="34" s="1"/>
  <c r="AI7" i="34"/>
  <c r="AG52" i="34"/>
  <c r="M52" i="34"/>
  <c r="AG44" i="34"/>
  <c r="W44" i="34"/>
  <c r="M44" i="34"/>
  <c r="C44" i="34"/>
  <c r="AB36" i="34"/>
  <c r="W36" i="34"/>
  <c r="R36" i="34"/>
  <c r="M36" i="34"/>
  <c r="H36" i="34"/>
  <c r="C36" i="34"/>
  <c r="AB28" i="34"/>
  <c r="W28" i="34"/>
  <c r="R28" i="34"/>
  <c r="M28" i="34"/>
  <c r="H28" i="34"/>
  <c r="C28" i="34"/>
  <c r="AB20" i="34"/>
  <c r="W20" i="34"/>
  <c r="W52" i="34" s="1"/>
  <c r="R20" i="34"/>
  <c r="M20" i="34"/>
  <c r="H20" i="34"/>
  <c r="C20" i="34"/>
  <c r="C52" i="34" s="1"/>
  <c r="AY8" i="34"/>
  <c r="AW8" i="34"/>
  <c r="AY7" i="34"/>
  <c r="AW7" i="34"/>
  <c r="B3" i="34"/>
  <c r="B5" i="34" s="1"/>
  <c r="E18" i="33"/>
  <c r="E12" i="33"/>
  <c r="E6" i="33"/>
  <c r="D6" i="33"/>
  <c r="D12" i="33"/>
  <c r="D18" i="33"/>
  <c r="AY23" i="43" l="1"/>
  <c r="BB23" i="43" s="1"/>
  <c r="AY21" i="43"/>
  <c r="BB21" i="43" s="1"/>
  <c r="AY15" i="43"/>
  <c r="BB15" i="43" s="1"/>
  <c r="AS32" i="43"/>
  <c r="AY32" i="43"/>
  <c r="BB32" i="43" s="1"/>
  <c r="AZ6" i="43"/>
  <c r="BC6" i="43" s="1"/>
  <c r="AY8" i="43"/>
  <c r="BB8" i="43" s="1"/>
  <c r="AY7" i="43"/>
  <c r="BB7" i="43" s="1"/>
  <c r="AZ8" i="43"/>
  <c r="BC8" i="43" s="1"/>
  <c r="AY25" i="43"/>
  <c r="BB25" i="43" s="1"/>
  <c r="AY30" i="43"/>
  <c r="BB30" i="43" s="1"/>
  <c r="AZ21" i="43"/>
  <c r="BC21" i="43" s="1"/>
  <c r="AZ31" i="43"/>
  <c r="BC31" i="43" s="1"/>
  <c r="AY5" i="43"/>
  <c r="BB5" i="43" s="1"/>
  <c r="AZ14" i="43"/>
  <c r="BC14" i="43" s="1"/>
  <c r="AY16" i="43"/>
  <c r="BB16" i="43" s="1"/>
  <c r="AZ28" i="43"/>
  <c r="BC28" i="43" s="1"/>
  <c r="AY20" i="43"/>
  <c r="BB20" i="43" s="1"/>
  <c r="AZ29" i="43"/>
  <c r="BC29" i="43" s="1"/>
  <c r="AZ16" i="43"/>
  <c r="BC16" i="43" s="1"/>
  <c r="AZ20" i="43"/>
  <c r="BC20" i="43" s="1"/>
  <c r="AZ33" i="43"/>
  <c r="BC33" i="43" s="1"/>
  <c r="AZ32" i="43"/>
  <c r="BC32" i="43" s="1"/>
  <c r="AY6" i="43"/>
  <c r="BB6" i="43" s="1"/>
  <c r="AY9" i="43"/>
  <c r="BB9" i="43" s="1"/>
  <c r="AZ12" i="43"/>
  <c r="BC12" i="43" s="1"/>
  <c r="AY17" i="43"/>
  <c r="BB17" i="43" s="1"/>
  <c r="AY28" i="43"/>
  <c r="BB28" i="43" s="1"/>
  <c r="AS33" i="43"/>
  <c r="AY33" i="43"/>
  <c r="BB33" i="43" s="1"/>
  <c r="AS13" i="43"/>
  <c r="AY13" i="43"/>
  <c r="BB13" i="43" s="1"/>
  <c r="AZ17" i="43"/>
  <c r="BC17" i="43" s="1"/>
  <c r="AZ25" i="43"/>
  <c r="BC25" i="43" s="1"/>
  <c r="AZ22" i="43"/>
  <c r="BC22" i="43" s="1"/>
  <c r="AZ30" i="43"/>
  <c r="BC30" i="43" s="1"/>
  <c r="AZ13" i="43"/>
  <c r="BC13" i="43" s="1"/>
  <c r="AZ5" i="43"/>
  <c r="BC5" i="43" s="1"/>
  <c r="AZ7" i="43"/>
  <c r="BC7" i="43" s="1"/>
  <c r="AZ23" i="43"/>
  <c r="BC23" i="43" s="1"/>
  <c r="AY24" i="43"/>
  <c r="BB24" i="43" s="1"/>
  <c r="AZ9" i="43"/>
  <c r="BC9" i="43" s="1"/>
  <c r="AS31" i="43"/>
  <c r="AY31" i="43"/>
  <c r="BB31" i="43" s="1"/>
  <c r="AZ15" i="43"/>
  <c r="BC15" i="43" s="1"/>
  <c r="AZ24" i="43"/>
  <c r="BC24" i="43" s="1"/>
  <c r="T13" i="41"/>
  <c r="K13" i="41"/>
  <c r="AN5" i="42"/>
  <c r="AT5" i="42" s="1"/>
  <c r="AZ8" i="41"/>
  <c r="BC8" i="41" s="1"/>
  <c r="AI6" i="41"/>
  <c r="K19" i="41"/>
  <c r="AR19" i="41"/>
  <c r="AJ17" i="37"/>
  <c r="N12" i="34"/>
  <c r="C33" i="36"/>
  <c r="AA33" i="37"/>
  <c r="AD33" i="37" s="1"/>
  <c r="F12" i="34"/>
  <c r="AJ12" i="34" s="1"/>
  <c r="AJ36" i="34" s="1"/>
  <c r="AA32" i="37"/>
  <c r="AD32" i="37" s="1"/>
  <c r="F11" i="34"/>
  <c r="D31" i="36"/>
  <c r="K10" i="35" s="1"/>
  <c r="G31" i="37"/>
  <c r="AQ31" i="37" s="1"/>
  <c r="AB31" i="37"/>
  <c r="AE31" i="37" s="1"/>
  <c r="K10" i="34"/>
  <c r="AE10" i="34" s="1"/>
  <c r="X31" i="37"/>
  <c r="U31" i="37"/>
  <c r="L31" i="37"/>
  <c r="AJ31" i="37" s="1"/>
  <c r="R31" i="37" s="1"/>
  <c r="F10" i="34"/>
  <c r="AJ10" i="34" s="1"/>
  <c r="F31" i="37"/>
  <c r="D30" i="36"/>
  <c r="AB30" i="37"/>
  <c r="AE30" i="37" s="1"/>
  <c r="K9" i="34"/>
  <c r="K17" i="34" s="1"/>
  <c r="Y29" i="37"/>
  <c r="K8" i="34"/>
  <c r="AE8" i="34" s="1"/>
  <c r="C29" i="36"/>
  <c r="F8" i="34"/>
  <c r="V28" i="37"/>
  <c r="K7" i="34"/>
  <c r="AO7" i="34" s="1"/>
  <c r="AO23" i="34" s="1"/>
  <c r="U28" i="37"/>
  <c r="AV28" i="37" s="1"/>
  <c r="F7" i="34"/>
  <c r="D25" i="36"/>
  <c r="J12" i="35" s="1"/>
  <c r="J28" i="35" s="1"/>
  <c r="Y25" i="37"/>
  <c r="J12" i="34"/>
  <c r="J20" i="34" s="1"/>
  <c r="C25" i="36"/>
  <c r="E12" i="35" s="1"/>
  <c r="U25" i="37"/>
  <c r="AV25" i="37" s="1"/>
  <c r="E12" i="34"/>
  <c r="D24" i="36"/>
  <c r="J11" i="35" s="1"/>
  <c r="Y24" i="37"/>
  <c r="V24" i="37"/>
  <c r="G24" i="37"/>
  <c r="J11" i="34"/>
  <c r="J27" i="34" s="1"/>
  <c r="C24" i="36"/>
  <c r="E11" i="34"/>
  <c r="L24" i="37"/>
  <c r="O24" i="37" s="1"/>
  <c r="X24" i="37"/>
  <c r="J18" i="34"/>
  <c r="J34" i="34"/>
  <c r="J9" i="34"/>
  <c r="G22" i="37"/>
  <c r="C22" i="36"/>
  <c r="E9" i="35" s="1"/>
  <c r="E9" i="34"/>
  <c r="L22" i="37"/>
  <c r="U22" i="37"/>
  <c r="D21" i="36"/>
  <c r="J8" i="35" s="1"/>
  <c r="AB21" i="37"/>
  <c r="AE21" i="37" s="1"/>
  <c r="J8" i="34"/>
  <c r="C21" i="36"/>
  <c r="E8" i="35" s="1"/>
  <c r="E8" i="34"/>
  <c r="AA21" i="37"/>
  <c r="AD21" i="37" s="1"/>
  <c r="C16" i="36"/>
  <c r="D11" i="35" s="1"/>
  <c r="D27" i="35" s="1"/>
  <c r="D11" i="34"/>
  <c r="AH11" i="34" s="1"/>
  <c r="X16" i="37"/>
  <c r="U16" i="37"/>
  <c r="AV16" i="37" s="1"/>
  <c r="L16" i="37"/>
  <c r="O16" i="37" s="1"/>
  <c r="D15" i="36"/>
  <c r="I10" i="35" s="1"/>
  <c r="I34" i="35" s="1"/>
  <c r="AB15" i="37"/>
  <c r="AE15" i="37" s="1"/>
  <c r="I10" i="34"/>
  <c r="C15" i="36"/>
  <c r="D10" i="35" s="1"/>
  <c r="D10" i="34"/>
  <c r="L15" i="37"/>
  <c r="C14" i="36"/>
  <c r="D9" i="35" s="1"/>
  <c r="L14" i="37"/>
  <c r="AJ14" i="37" s="1"/>
  <c r="R14" i="37" s="1"/>
  <c r="F14" i="37"/>
  <c r="D9" i="34"/>
  <c r="AA14" i="37"/>
  <c r="AD14" i="37" s="1"/>
  <c r="U14" i="37"/>
  <c r="AV14" i="37" s="1"/>
  <c r="D13" i="36"/>
  <c r="AB13" i="37"/>
  <c r="AE13" i="37" s="1"/>
  <c r="I8" i="34"/>
  <c r="C13" i="36"/>
  <c r="F13" i="37"/>
  <c r="D8" i="34"/>
  <c r="D12" i="36"/>
  <c r="I7" i="34"/>
  <c r="C12" i="36"/>
  <c r="D7" i="35" s="1"/>
  <c r="AA12" i="37"/>
  <c r="AD12" i="37" s="1"/>
  <c r="D7" i="34"/>
  <c r="D6" i="36"/>
  <c r="H8" i="35" s="1"/>
  <c r="H8" i="34"/>
  <c r="H16" i="34" s="1"/>
  <c r="V6" i="37"/>
  <c r="AW6" i="37" s="1"/>
  <c r="D7" i="36"/>
  <c r="H9" i="35" s="1"/>
  <c r="H17" i="35" s="1"/>
  <c r="H9" i="34"/>
  <c r="G7" i="37"/>
  <c r="H10" i="34"/>
  <c r="AB8" i="37"/>
  <c r="AE8" i="37" s="1"/>
  <c r="Y8" i="37"/>
  <c r="AH8" i="37" s="1"/>
  <c r="D9" i="36"/>
  <c r="H11" i="35" s="1"/>
  <c r="AL11" i="35" s="1"/>
  <c r="AL27" i="35" s="1"/>
  <c r="H11" i="34"/>
  <c r="H27" i="34" s="1"/>
  <c r="C9" i="36"/>
  <c r="C11" i="34"/>
  <c r="AG11" i="34" s="1"/>
  <c r="C6" i="36"/>
  <c r="C8" i="35" s="1"/>
  <c r="C8" i="34"/>
  <c r="C7" i="36"/>
  <c r="C9" i="35" s="1"/>
  <c r="C9" i="34"/>
  <c r="X8" i="37"/>
  <c r="C10" i="34"/>
  <c r="G20" i="42"/>
  <c r="V20" i="42"/>
  <c r="AW20" i="42" s="1"/>
  <c r="Y20" i="42"/>
  <c r="AH20" i="42" s="1"/>
  <c r="AN20" i="42" s="1"/>
  <c r="AT20" i="42" s="1"/>
  <c r="G14" i="42"/>
  <c r="V14" i="42"/>
  <c r="AW14" i="42" s="1"/>
  <c r="Y14" i="42"/>
  <c r="AH14" i="42" s="1"/>
  <c r="AN14" i="42" s="1"/>
  <c r="AT14" i="42" s="1"/>
  <c r="V13" i="42"/>
  <c r="AW13" i="42" s="1"/>
  <c r="Y13" i="42"/>
  <c r="N7" i="42"/>
  <c r="Z7" i="42"/>
  <c r="AI7" i="42" s="1"/>
  <c r="AO7" i="42" s="1"/>
  <c r="W7" i="42"/>
  <c r="AX7" i="42" s="1"/>
  <c r="AC8" i="42"/>
  <c r="AF8" i="42" s="1"/>
  <c r="W8" i="42"/>
  <c r="Z8" i="42"/>
  <c r="AH17" i="42"/>
  <c r="S20" i="41"/>
  <c r="AO14" i="41"/>
  <c r="AU14" i="41" s="1"/>
  <c r="AF14" i="42"/>
  <c r="AI14" i="42"/>
  <c r="J8" i="42"/>
  <c r="AZ8" i="42" s="1"/>
  <c r="BC8" i="42" s="1"/>
  <c r="AQ8" i="42"/>
  <c r="AK14" i="41"/>
  <c r="S14" i="41" s="1"/>
  <c r="P14" i="41"/>
  <c r="AU17" i="41"/>
  <c r="BA17" i="41"/>
  <c r="BD17" i="41" s="1"/>
  <c r="AF18" i="40"/>
  <c r="AI18" i="40"/>
  <c r="AO18" i="40" s="1"/>
  <c r="AV22" i="37"/>
  <c r="G32" i="37"/>
  <c r="D32" i="36"/>
  <c r="X32" i="37"/>
  <c r="AG32" i="37" s="1"/>
  <c r="C32" i="36"/>
  <c r="Y31" i="36"/>
  <c r="AH31" i="36" s="1"/>
  <c r="AN31" i="36" s="1"/>
  <c r="AT31" i="36" s="1"/>
  <c r="M31" i="36"/>
  <c r="G31" i="36"/>
  <c r="V31" i="36"/>
  <c r="AW31" i="36" s="1"/>
  <c r="AB31" i="36"/>
  <c r="AE31" i="36" s="1"/>
  <c r="AA31" i="37"/>
  <c r="C31" i="36"/>
  <c r="AA30" i="37"/>
  <c r="AD30" i="37" s="1"/>
  <c r="C30" i="36"/>
  <c r="G29" i="37"/>
  <c r="D29" i="36"/>
  <c r="G28" i="37"/>
  <c r="D28" i="36"/>
  <c r="L28" i="37"/>
  <c r="C28" i="36"/>
  <c r="G25" i="36"/>
  <c r="AB25" i="36"/>
  <c r="AE25" i="36" s="1"/>
  <c r="U25" i="36"/>
  <c r="AV25" i="36" s="1"/>
  <c r="L25" i="36"/>
  <c r="M24" i="36"/>
  <c r="Y24" i="36"/>
  <c r="V24" i="36"/>
  <c r="AW24" i="36" s="1"/>
  <c r="Y23" i="37"/>
  <c r="D23" i="36"/>
  <c r="U23" i="37"/>
  <c r="AV23" i="37" s="1"/>
  <c r="C23" i="36"/>
  <c r="Y22" i="37"/>
  <c r="D22" i="36"/>
  <c r="M21" i="36"/>
  <c r="G21" i="36"/>
  <c r="U21" i="36"/>
  <c r="AV21" i="36" s="1"/>
  <c r="L21" i="36"/>
  <c r="AB20" i="37"/>
  <c r="AE20" i="37" s="1"/>
  <c r="D20" i="36"/>
  <c r="V16" i="37"/>
  <c r="AW16" i="37" s="1"/>
  <c r="D16" i="36"/>
  <c r="V15" i="36"/>
  <c r="AW15" i="36" s="1"/>
  <c r="G15" i="36"/>
  <c r="L15" i="36"/>
  <c r="U15" i="36"/>
  <c r="AV15" i="36" s="1"/>
  <c r="AB14" i="37"/>
  <c r="AE14" i="37" s="1"/>
  <c r="D14" i="36"/>
  <c r="M6" i="36"/>
  <c r="V6" i="36"/>
  <c r="AW6" i="36" s="1"/>
  <c r="Y6" i="36"/>
  <c r="M7" i="36"/>
  <c r="V7" i="36"/>
  <c r="AW7" i="36" s="1"/>
  <c r="G7" i="36"/>
  <c r="V8" i="37"/>
  <c r="AW8" i="37" s="1"/>
  <c r="D8" i="36"/>
  <c r="V9" i="36"/>
  <c r="AW9" i="36" s="1"/>
  <c r="AB9" i="36"/>
  <c r="AE9" i="36" s="1"/>
  <c r="M9" i="36"/>
  <c r="Y9" i="36"/>
  <c r="AH9" i="36" s="1"/>
  <c r="Y5" i="37"/>
  <c r="D5" i="36"/>
  <c r="H7" i="35" s="1"/>
  <c r="U7" i="36"/>
  <c r="AV7" i="36" s="1"/>
  <c r="L7" i="36"/>
  <c r="U8" i="37"/>
  <c r="AV8" i="37" s="1"/>
  <c r="C8" i="36"/>
  <c r="AA5" i="37"/>
  <c r="AD5" i="37" s="1"/>
  <c r="C5" i="36"/>
  <c r="AH11" i="42"/>
  <c r="AN11" i="42" s="1"/>
  <c r="AT11" i="42" s="1"/>
  <c r="AH5" i="40"/>
  <c r="AN5" i="40" s="1"/>
  <c r="AT5" i="40" s="1"/>
  <c r="AN11" i="40"/>
  <c r="AT11" i="40" s="1"/>
  <c r="AO20" i="42"/>
  <c r="AU20" i="42" s="1"/>
  <c r="AI18" i="42"/>
  <c r="AI19" i="42"/>
  <c r="AO19" i="42" s="1"/>
  <c r="AU19" i="42" s="1"/>
  <c r="T13" i="42"/>
  <c r="AI6" i="42"/>
  <c r="AO6" i="42" s="1"/>
  <c r="AU6" i="42" s="1"/>
  <c r="AH7" i="42"/>
  <c r="Q18" i="42"/>
  <c r="AL18" i="42"/>
  <c r="T18" i="42" s="1"/>
  <c r="Q14" i="42"/>
  <c r="AL14" i="42"/>
  <c r="T14" i="42" s="1"/>
  <c r="AH8" i="42"/>
  <c r="AN8" i="42" s="1"/>
  <c r="AT8" i="42" s="1"/>
  <c r="J17" i="42"/>
  <c r="AQ17" i="42"/>
  <c r="K11" i="42"/>
  <c r="AR11" i="42"/>
  <c r="AW11" i="42"/>
  <c r="P8" i="42"/>
  <c r="AK8" i="42"/>
  <c r="S8" i="42" s="1"/>
  <c r="Q8" i="42"/>
  <c r="AL8" i="42"/>
  <c r="T8" i="42" s="1"/>
  <c r="AZ39" i="42"/>
  <c r="BC39" i="42" s="1"/>
  <c r="K19" i="42"/>
  <c r="AR19" i="42"/>
  <c r="P11" i="42"/>
  <c r="AK11" i="42"/>
  <c r="S11" i="42" s="1"/>
  <c r="P13" i="42"/>
  <c r="AK13" i="42"/>
  <c r="S13" i="42" s="1"/>
  <c r="P5" i="42"/>
  <c r="AK5" i="42"/>
  <c r="S5" i="42" s="1"/>
  <c r="K13" i="42"/>
  <c r="BA13" i="42" s="1"/>
  <c r="BD13" i="42" s="1"/>
  <c r="AR13" i="42"/>
  <c r="P14" i="42"/>
  <c r="AK14" i="42"/>
  <c r="K8" i="42"/>
  <c r="AR8" i="42"/>
  <c r="T20" i="42"/>
  <c r="AI5" i="42"/>
  <c r="AO5" i="42" s="1"/>
  <c r="M18" i="42"/>
  <c r="AB18" i="42"/>
  <c r="AE18" i="42" s="1"/>
  <c r="V18" i="42"/>
  <c r="Y18" i="42"/>
  <c r="G18" i="42"/>
  <c r="AW5" i="42"/>
  <c r="J11" i="42"/>
  <c r="AQ11" i="42"/>
  <c r="J7" i="42"/>
  <c r="AQ7" i="42"/>
  <c r="K20" i="42"/>
  <c r="BA20" i="42" s="1"/>
  <c r="BD20" i="42" s="1"/>
  <c r="AR20" i="42"/>
  <c r="M12" i="42"/>
  <c r="AB12" i="42"/>
  <c r="AE12" i="42" s="1"/>
  <c r="V12" i="42"/>
  <c r="AW12" i="42" s="1"/>
  <c r="Y12" i="42"/>
  <c r="G12" i="42"/>
  <c r="Q19" i="42"/>
  <c r="AL19" i="42"/>
  <c r="T19" i="42" s="1"/>
  <c r="K14" i="42"/>
  <c r="AR14" i="42"/>
  <c r="M6" i="42"/>
  <c r="AB6" i="42"/>
  <c r="AE6" i="42" s="1"/>
  <c r="Y6" i="42"/>
  <c r="AH6" i="42" s="1"/>
  <c r="V6" i="42"/>
  <c r="AW6" i="42" s="1"/>
  <c r="G6" i="42"/>
  <c r="P19" i="42"/>
  <c r="AK19" i="42"/>
  <c r="S19" i="42" s="1"/>
  <c r="AN17" i="42"/>
  <c r="AT17" i="42" s="1"/>
  <c r="AN7" i="42"/>
  <c r="AT7" i="42" s="1"/>
  <c r="AW19" i="42"/>
  <c r="Q6" i="42"/>
  <c r="AL6" i="42"/>
  <c r="T6" i="42" s="1"/>
  <c r="Q11" i="42"/>
  <c r="AL11" i="42"/>
  <c r="T11" i="42" s="1"/>
  <c r="Q17" i="42"/>
  <c r="AL17" i="42"/>
  <c r="T17" i="42" s="1"/>
  <c r="Q5" i="42"/>
  <c r="AL5" i="42"/>
  <c r="T5" i="42" s="1"/>
  <c r="AH19" i="42"/>
  <c r="AN19" i="42" s="1"/>
  <c r="AT19" i="42" s="1"/>
  <c r="AI17" i="42"/>
  <c r="AO17" i="42" s="1"/>
  <c r="AU17" i="42" s="1"/>
  <c r="K17" i="42"/>
  <c r="AR17" i="42"/>
  <c r="J13" i="42"/>
  <c r="AQ13" i="42"/>
  <c r="AX6" i="42"/>
  <c r="K6" i="42"/>
  <c r="AR6" i="42"/>
  <c r="P20" i="42"/>
  <c r="AK20" i="42"/>
  <c r="S20" i="42" s="1"/>
  <c r="J19" i="42"/>
  <c r="AQ19" i="42"/>
  <c r="AZ5" i="42"/>
  <c r="BC5" i="42" s="1"/>
  <c r="AO18" i="42"/>
  <c r="AU18" i="42" s="1"/>
  <c r="AX18" i="42"/>
  <c r="K18" i="42"/>
  <c r="AR18" i="42"/>
  <c r="AC12" i="42"/>
  <c r="AF12" i="42" s="1"/>
  <c r="Z12" i="42"/>
  <c r="W12" i="42"/>
  <c r="AX12" i="42" s="1"/>
  <c r="N12" i="42"/>
  <c r="H12" i="42"/>
  <c r="K7" i="42"/>
  <c r="AR7" i="42"/>
  <c r="AH13" i="42"/>
  <c r="AN13" i="42" s="1"/>
  <c r="AT13" i="42" s="1"/>
  <c r="P7" i="42"/>
  <c r="AK7" i="42"/>
  <c r="S7" i="42" s="1"/>
  <c r="AX17" i="42"/>
  <c r="P17" i="42"/>
  <c r="AK17" i="42"/>
  <c r="S17" i="42" s="1"/>
  <c r="AI11" i="42"/>
  <c r="AO11" i="42" s="1"/>
  <c r="AU11" i="42" s="1"/>
  <c r="AO14" i="42"/>
  <c r="AU14" i="42" s="1"/>
  <c r="AX20" i="42"/>
  <c r="J18" i="41"/>
  <c r="P17" i="41"/>
  <c r="AZ17" i="41"/>
  <c r="BC17" i="41" s="1"/>
  <c r="AR20" i="41"/>
  <c r="K20" i="41"/>
  <c r="AI20" i="41"/>
  <c r="AO20" i="41" s="1"/>
  <c r="AU20" i="41" s="1"/>
  <c r="T20" i="41"/>
  <c r="AQ20" i="41"/>
  <c r="J20" i="41"/>
  <c r="S18" i="41"/>
  <c r="AX19" i="41"/>
  <c r="Q19" i="41"/>
  <c r="AL19" i="41"/>
  <c r="T19" i="41" s="1"/>
  <c r="AH20" i="41"/>
  <c r="AN20" i="41" s="1"/>
  <c r="AT20" i="41" s="1"/>
  <c r="AI19" i="41"/>
  <c r="AO19" i="41" s="1"/>
  <c r="Q14" i="41"/>
  <c r="AL14" i="41"/>
  <c r="T14" i="41" s="1"/>
  <c r="AZ11" i="41"/>
  <c r="BC11" i="41" s="1"/>
  <c r="AX14" i="41"/>
  <c r="AR14" i="41"/>
  <c r="K14" i="41"/>
  <c r="AI12" i="41"/>
  <c r="AO12" i="41" s="1"/>
  <c r="AU12" i="41" s="1"/>
  <c r="AQ14" i="41"/>
  <c r="J14" i="41"/>
  <c r="AZ14" i="41" s="1"/>
  <c r="BC14" i="41" s="1"/>
  <c r="AN13" i="41"/>
  <c r="AT13" i="41" s="1"/>
  <c r="BA11" i="41"/>
  <c r="BD11" i="41" s="1"/>
  <c r="AQ13" i="41"/>
  <c r="BA13" i="41"/>
  <c r="BD13" i="41" s="1"/>
  <c r="AH12" i="41"/>
  <c r="AN12" i="41" s="1"/>
  <c r="AT12" i="41" s="1"/>
  <c r="S13" i="41"/>
  <c r="T5" i="41"/>
  <c r="AO5" i="41"/>
  <c r="Q8" i="41"/>
  <c r="AL8" i="41"/>
  <c r="T8" i="41" s="1"/>
  <c r="AR5" i="41"/>
  <c r="AO7" i="41"/>
  <c r="AX7" i="41"/>
  <c r="AL7" i="41"/>
  <c r="T7" i="41" s="1"/>
  <c r="Q7" i="41"/>
  <c r="AO8" i="41"/>
  <c r="AQ5" i="41"/>
  <c r="AN5" i="41"/>
  <c r="AB6" i="41"/>
  <c r="AE6" i="41" s="1"/>
  <c r="Y6" i="41"/>
  <c r="M6" i="41"/>
  <c r="G6" i="41"/>
  <c r="AW5" i="41"/>
  <c r="AK5" i="41"/>
  <c r="S5" i="41" s="1"/>
  <c r="AT14" i="41"/>
  <c r="P12" i="41"/>
  <c r="AK12" i="41"/>
  <c r="S12" i="41" s="1"/>
  <c r="AT19" i="41"/>
  <c r="AZ19" i="41"/>
  <c r="BC19" i="41" s="1"/>
  <c r="K6" i="41"/>
  <c r="AR6" i="41"/>
  <c r="K18" i="41"/>
  <c r="AR18" i="41"/>
  <c r="BA14" i="41"/>
  <c r="BD14" i="41" s="1"/>
  <c r="AQ12" i="41"/>
  <c r="J12" i="41"/>
  <c r="AX12" i="41"/>
  <c r="AO18" i="41"/>
  <c r="AU18" i="41" s="1"/>
  <c r="AT7" i="41"/>
  <c r="AZ7" i="41"/>
  <c r="BC7" i="41" s="1"/>
  <c r="AO6" i="41"/>
  <c r="AU6" i="41" s="1"/>
  <c r="AN18" i="41"/>
  <c r="AT18" i="41" s="1"/>
  <c r="AW18" i="41"/>
  <c r="AL6" i="41"/>
  <c r="T6" i="41" s="1"/>
  <c r="Q6" i="41"/>
  <c r="AW6" i="41"/>
  <c r="AL18" i="41"/>
  <c r="T18" i="41" s="1"/>
  <c r="Q18" i="41"/>
  <c r="AW12" i="41"/>
  <c r="AI13" i="40"/>
  <c r="AH19" i="40"/>
  <c r="AN19" i="40" s="1"/>
  <c r="AT19" i="40" s="1"/>
  <c r="AB17" i="37"/>
  <c r="AE17" i="37" s="1"/>
  <c r="AM12" i="35"/>
  <c r="AM28" i="35" s="1"/>
  <c r="AC12" i="35"/>
  <c r="AC20" i="35" s="1"/>
  <c r="AL17" i="40"/>
  <c r="Q17" i="40"/>
  <c r="AI20" i="40"/>
  <c r="AI14" i="40"/>
  <c r="AO14" i="40" s="1"/>
  <c r="Q13" i="40"/>
  <c r="AL13" i="40"/>
  <c r="T13" i="40" s="1"/>
  <c r="AI7" i="40"/>
  <c r="AI8" i="40"/>
  <c r="AO7" i="40"/>
  <c r="AU7" i="40" s="1"/>
  <c r="K17" i="40"/>
  <c r="AR17" i="40"/>
  <c r="AO17" i="40"/>
  <c r="AU17" i="40" s="1"/>
  <c r="J13" i="40"/>
  <c r="AQ13" i="40"/>
  <c r="AO19" i="40"/>
  <c r="AU19" i="40" s="1"/>
  <c r="J6" i="40"/>
  <c r="AQ6" i="40"/>
  <c r="P19" i="40"/>
  <c r="AK19" i="40"/>
  <c r="S19" i="40" s="1"/>
  <c r="P11" i="40"/>
  <c r="AK11" i="40"/>
  <c r="S11" i="40" s="1"/>
  <c r="AN14" i="40"/>
  <c r="AT14" i="40" s="1"/>
  <c r="AK17" i="40"/>
  <c r="S17" i="40" s="1"/>
  <c r="P17" i="40"/>
  <c r="J19" i="40"/>
  <c r="AQ19" i="40"/>
  <c r="J11" i="40"/>
  <c r="AZ11" i="40" s="1"/>
  <c r="BC11" i="40" s="1"/>
  <c r="AQ11" i="40"/>
  <c r="K13" i="40"/>
  <c r="AR13" i="40"/>
  <c r="P13" i="40"/>
  <c r="AK13" i="40"/>
  <c r="S13" i="40" s="1"/>
  <c r="AL19" i="40"/>
  <c r="T19" i="40" s="1"/>
  <c r="Q19" i="40"/>
  <c r="P6" i="40"/>
  <c r="AK6" i="40"/>
  <c r="S6" i="40" s="1"/>
  <c r="AZ14" i="40"/>
  <c r="BC14" i="40" s="1"/>
  <c r="AW7" i="40"/>
  <c r="Q7" i="40"/>
  <c r="AL7" i="40"/>
  <c r="T7" i="40" s="1"/>
  <c r="K7" i="40"/>
  <c r="BA7" i="40" s="1"/>
  <c r="BD7" i="40" s="1"/>
  <c r="AR7" i="40"/>
  <c r="P8" i="40"/>
  <c r="AK8" i="40"/>
  <c r="S8" i="40" s="1"/>
  <c r="K19" i="40"/>
  <c r="AR19" i="40"/>
  <c r="AX7" i="40"/>
  <c r="AO11" i="40"/>
  <c r="AU11" i="40" s="1"/>
  <c r="Q8" i="40"/>
  <c r="AL8" i="40"/>
  <c r="T8" i="40" s="1"/>
  <c r="J7" i="40"/>
  <c r="AQ7" i="40"/>
  <c r="P7" i="40"/>
  <c r="AK7" i="40"/>
  <c r="S7" i="40" s="1"/>
  <c r="P5" i="40"/>
  <c r="AK5" i="40"/>
  <c r="S5" i="40" s="1"/>
  <c r="AO8" i="40"/>
  <c r="AU8" i="40" s="1"/>
  <c r="AH6" i="40"/>
  <c r="AN6" i="40" s="1"/>
  <c r="AT6" i="40" s="1"/>
  <c r="AN8" i="40"/>
  <c r="AT8" i="40" s="1"/>
  <c r="AZ39" i="40"/>
  <c r="BC39" i="40" s="1"/>
  <c r="AH13" i="40"/>
  <c r="AN13" i="40" s="1"/>
  <c r="AT13" i="40" s="1"/>
  <c r="AX11" i="40"/>
  <c r="T17" i="40"/>
  <c r="J20" i="40"/>
  <c r="AQ20" i="40"/>
  <c r="AN20" i="40"/>
  <c r="AT20" i="40" s="1"/>
  <c r="K18" i="40"/>
  <c r="AR18" i="40"/>
  <c r="P14" i="40"/>
  <c r="AK14" i="40"/>
  <c r="S14" i="40" s="1"/>
  <c r="K20" i="40"/>
  <c r="AR20" i="40"/>
  <c r="AO20" i="40"/>
  <c r="AU20" i="40" s="1"/>
  <c r="T20" i="40"/>
  <c r="AL14" i="40"/>
  <c r="T14" i="40" s="1"/>
  <c r="Q14" i="40"/>
  <c r="AW19" i="40"/>
  <c r="J17" i="40"/>
  <c r="AQ17" i="40"/>
  <c r="AB12" i="40"/>
  <c r="AE12" i="40" s="1"/>
  <c r="V12" i="40"/>
  <c r="AW12" i="40" s="1"/>
  <c r="G12" i="40"/>
  <c r="M12" i="40"/>
  <c r="Y12" i="40"/>
  <c r="J5" i="40"/>
  <c r="AQ5" i="40"/>
  <c r="AC12" i="40"/>
  <c r="AF12" i="40" s="1"/>
  <c r="Z12" i="40"/>
  <c r="H12" i="40"/>
  <c r="N12" i="40"/>
  <c r="W12" i="40"/>
  <c r="AX12" i="40" s="1"/>
  <c r="T18" i="40"/>
  <c r="AN17" i="40"/>
  <c r="AT17" i="40" s="1"/>
  <c r="K11" i="40"/>
  <c r="AR11" i="40"/>
  <c r="AH7" i="40"/>
  <c r="AN7" i="40" s="1"/>
  <c r="AT7" i="40" s="1"/>
  <c r="T11" i="40"/>
  <c r="AW14" i="40"/>
  <c r="AB18" i="40"/>
  <c r="AE18" i="40" s="1"/>
  <c r="V18" i="40"/>
  <c r="M18" i="40"/>
  <c r="AW18" i="40"/>
  <c r="G18" i="40"/>
  <c r="Y18" i="40"/>
  <c r="AO13" i="40"/>
  <c r="AU13" i="40" s="1"/>
  <c r="AW11" i="40"/>
  <c r="V14" i="38"/>
  <c r="AW14" i="38" s="1"/>
  <c r="G12" i="38"/>
  <c r="J12" i="38" s="1"/>
  <c r="V12" i="38"/>
  <c r="AW12" i="38" s="1"/>
  <c r="Y8" i="38"/>
  <c r="G6" i="38"/>
  <c r="G8" i="38"/>
  <c r="V6" i="38"/>
  <c r="Y7" i="36"/>
  <c r="AB7" i="36"/>
  <c r="AE7" i="36" s="1"/>
  <c r="V12" i="36"/>
  <c r="AW12" i="36" s="1"/>
  <c r="Y12" i="36"/>
  <c r="L29" i="36"/>
  <c r="G13" i="36"/>
  <c r="AQ13" i="36" s="1"/>
  <c r="G9" i="36"/>
  <c r="AQ9" i="36" s="1"/>
  <c r="AX39" i="38"/>
  <c r="AO39" i="38"/>
  <c r="AU39" i="38" s="1"/>
  <c r="M5" i="38"/>
  <c r="AB5" i="38"/>
  <c r="AE5" i="38" s="1"/>
  <c r="Y5" i="38"/>
  <c r="V5" i="38"/>
  <c r="AW5" i="38" s="1"/>
  <c r="G5" i="38"/>
  <c r="M11" i="38"/>
  <c r="AB11" i="38"/>
  <c r="AE11" i="38" s="1"/>
  <c r="Y11" i="38"/>
  <c r="V11" i="38"/>
  <c r="AW11" i="38" s="1"/>
  <c r="G11" i="38"/>
  <c r="M7" i="38"/>
  <c r="AB7" i="38"/>
  <c r="AE7" i="38" s="1"/>
  <c r="Y7" i="38"/>
  <c r="AH7" i="38" s="1"/>
  <c r="V7" i="38"/>
  <c r="AW7" i="38" s="1"/>
  <c r="G7" i="38"/>
  <c r="M17" i="38"/>
  <c r="AB17" i="38"/>
  <c r="AE17" i="38" s="1"/>
  <c r="Y17" i="38"/>
  <c r="V17" i="38"/>
  <c r="AW17" i="38" s="1"/>
  <c r="G17" i="38"/>
  <c r="N20" i="38"/>
  <c r="AC20" i="38"/>
  <c r="AF20" i="38" s="1"/>
  <c r="Z20" i="38"/>
  <c r="AI20" i="38" s="1"/>
  <c r="H20" i="38"/>
  <c r="W20" i="38"/>
  <c r="AX20" i="38" s="1"/>
  <c r="M13" i="38"/>
  <c r="AB13" i="38"/>
  <c r="AE13" i="38" s="1"/>
  <c r="Y13" i="38"/>
  <c r="V13" i="38"/>
  <c r="AW13" i="38" s="1"/>
  <c r="G13" i="38"/>
  <c r="N13" i="38"/>
  <c r="AC13" i="38"/>
  <c r="AF13" i="38" s="1"/>
  <c r="Z13" i="38"/>
  <c r="AI13" i="38" s="1"/>
  <c r="H13" i="38"/>
  <c r="BA39" i="38"/>
  <c r="BD39" i="38" s="1"/>
  <c r="M18" i="38"/>
  <c r="Y18" i="38"/>
  <c r="G18" i="38"/>
  <c r="AB18" i="38"/>
  <c r="AE18" i="38" s="1"/>
  <c r="J39" i="38"/>
  <c r="AZ39" i="38" s="1"/>
  <c r="BC39" i="38" s="1"/>
  <c r="AW6" i="38"/>
  <c r="M6" i="38"/>
  <c r="AB6" i="38"/>
  <c r="AE6" i="38" s="1"/>
  <c r="AW8" i="38"/>
  <c r="M8" i="38"/>
  <c r="AB8" i="38"/>
  <c r="AE8" i="38" s="1"/>
  <c r="M12" i="38"/>
  <c r="AB12" i="38"/>
  <c r="AE12" i="38" s="1"/>
  <c r="M14" i="38"/>
  <c r="AB14" i="38"/>
  <c r="AE14" i="38" s="1"/>
  <c r="N18" i="38"/>
  <c r="AC18" i="38"/>
  <c r="AF18" i="38" s="1"/>
  <c r="Z18" i="38"/>
  <c r="H18" i="38"/>
  <c r="N7" i="38"/>
  <c r="AC7" i="38"/>
  <c r="AF7" i="38" s="1"/>
  <c r="Z7" i="38"/>
  <c r="H7" i="38"/>
  <c r="AX8" i="38"/>
  <c r="N8" i="38"/>
  <c r="AC8" i="38"/>
  <c r="AF8" i="38" s="1"/>
  <c r="Z8" i="38"/>
  <c r="H8" i="38"/>
  <c r="W13" i="38"/>
  <c r="AX13" i="38" s="1"/>
  <c r="AX11" i="38"/>
  <c r="N11" i="38"/>
  <c r="AC11" i="38"/>
  <c r="AF11" i="38" s="1"/>
  <c r="Z11" i="38"/>
  <c r="H11" i="38"/>
  <c r="AX12" i="38"/>
  <c r="N12" i="38"/>
  <c r="AC12" i="38"/>
  <c r="AF12" i="38" s="1"/>
  <c r="Z12" i="38"/>
  <c r="H12" i="38"/>
  <c r="N17" i="38"/>
  <c r="AC17" i="38"/>
  <c r="AF17" i="38" s="1"/>
  <c r="Z17" i="38"/>
  <c r="AI17" i="38" s="1"/>
  <c r="H17" i="38"/>
  <c r="W7" i="38"/>
  <c r="AX7" i="38" s="1"/>
  <c r="AX14" i="38"/>
  <c r="N14" i="38"/>
  <c r="AC14" i="38"/>
  <c r="AF14" i="38" s="1"/>
  <c r="Z14" i="38"/>
  <c r="AI14" i="38" s="1"/>
  <c r="H14" i="38"/>
  <c r="W17" i="38"/>
  <c r="AO17" i="38" s="1"/>
  <c r="AU17" i="38" s="1"/>
  <c r="AQ14" i="38"/>
  <c r="AW19" i="38"/>
  <c r="M19" i="38"/>
  <c r="Y19" i="38"/>
  <c r="G19" i="38"/>
  <c r="AB19" i="38"/>
  <c r="AE19" i="38" s="1"/>
  <c r="AX19" i="38"/>
  <c r="N19" i="38"/>
  <c r="AC19" i="38"/>
  <c r="AF19" i="38" s="1"/>
  <c r="Z19" i="38"/>
  <c r="H19" i="38"/>
  <c r="AQ39" i="38"/>
  <c r="V18" i="38"/>
  <c r="AW18" i="38" s="1"/>
  <c r="T39" i="38"/>
  <c r="AR39" i="38"/>
  <c r="W18" i="38"/>
  <c r="AX18" i="38" s="1"/>
  <c r="M20" i="38"/>
  <c r="AW20" i="38"/>
  <c r="Y20" i="38"/>
  <c r="G20" i="38"/>
  <c r="AB20" i="38"/>
  <c r="AE20" i="38" s="1"/>
  <c r="L17" i="36"/>
  <c r="V30" i="36"/>
  <c r="AW30" i="36" s="1"/>
  <c r="Y21" i="36"/>
  <c r="M25" i="36"/>
  <c r="AB21" i="36"/>
  <c r="AE21" i="36" s="1"/>
  <c r="V21" i="36"/>
  <c r="AW21" i="36" s="1"/>
  <c r="V25" i="36"/>
  <c r="AW25" i="36" s="1"/>
  <c r="Y25" i="36"/>
  <c r="L13" i="36"/>
  <c r="N8" i="35" s="1"/>
  <c r="M13" i="36"/>
  <c r="M15" i="36"/>
  <c r="V13" i="36"/>
  <c r="AW13" i="36" s="1"/>
  <c r="AB15" i="36"/>
  <c r="AE15" i="36" s="1"/>
  <c r="Y15" i="36"/>
  <c r="AH15" i="36" s="1"/>
  <c r="AB13" i="36"/>
  <c r="AE13" i="36" s="1"/>
  <c r="L9" i="36"/>
  <c r="M11" i="35" s="1"/>
  <c r="X28" i="37"/>
  <c r="Y28" i="37"/>
  <c r="L29" i="37"/>
  <c r="P8" i="34" s="1"/>
  <c r="U29" i="37"/>
  <c r="AV29" i="37" s="1"/>
  <c r="X29" i="37"/>
  <c r="F28" i="37"/>
  <c r="I28" i="37" s="1"/>
  <c r="L32" i="37"/>
  <c r="X22" i="37"/>
  <c r="X20" i="37"/>
  <c r="AG20" i="37" s="1"/>
  <c r="Y20" i="37"/>
  <c r="G14" i="37"/>
  <c r="Y16" i="37"/>
  <c r="AB16" i="37"/>
  <c r="AE16" i="37" s="1"/>
  <c r="G8" i="37"/>
  <c r="F8" i="37"/>
  <c r="L8" i="37"/>
  <c r="M10" i="34" s="1"/>
  <c r="AB5" i="37"/>
  <c r="AE5" i="37" s="1"/>
  <c r="G5" i="37"/>
  <c r="U30" i="37"/>
  <c r="AV30" i="37" s="1"/>
  <c r="G17" i="37"/>
  <c r="AQ17" i="37" s="1"/>
  <c r="U13" i="37"/>
  <c r="AV13" i="37" s="1"/>
  <c r="U17" i="37"/>
  <c r="AV17" i="37" s="1"/>
  <c r="X13" i="37"/>
  <c r="X17" i="37"/>
  <c r="Y21" i="37"/>
  <c r="L30" i="37"/>
  <c r="Y7" i="37"/>
  <c r="Y13" i="37"/>
  <c r="Y17" i="37"/>
  <c r="AH17" i="37" s="1"/>
  <c r="X23" i="37"/>
  <c r="L25" i="37"/>
  <c r="X25" i="37"/>
  <c r="X30" i="37"/>
  <c r="X33" i="37"/>
  <c r="AG33" i="37" s="1"/>
  <c r="L13" i="37"/>
  <c r="N8" i="34" s="1"/>
  <c r="F30" i="37"/>
  <c r="V22" i="37"/>
  <c r="AW22" i="37" s="1"/>
  <c r="U24" i="37"/>
  <c r="AV24" i="37" s="1"/>
  <c r="F32" i="37"/>
  <c r="F5" i="37"/>
  <c r="AP5" i="37" s="1"/>
  <c r="L5" i="37"/>
  <c r="U5" i="37"/>
  <c r="AV5" i="37" s="1"/>
  <c r="X5" i="37"/>
  <c r="U6" i="37"/>
  <c r="L6" i="37"/>
  <c r="M8" i="34" s="1"/>
  <c r="AV6" i="37"/>
  <c r="M9" i="37"/>
  <c r="R11" i="34" s="1"/>
  <c r="V9" i="37"/>
  <c r="AW9" i="37" s="1"/>
  <c r="F15" i="37"/>
  <c r="J31" i="37"/>
  <c r="U15" i="37"/>
  <c r="AV15" i="37" s="1"/>
  <c r="I61" i="37"/>
  <c r="AP61" i="37"/>
  <c r="AM61" i="37"/>
  <c r="AS61" i="37" s="1"/>
  <c r="G6" i="37"/>
  <c r="G9" i="37"/>
  <c r="L12" i="37"/>
  <c r="N7" i="34" s="1"/>
  <c r="F12" i="37"/>
  <c r="X6" i="37"/>
  <c r="I17" i="37"/>
  <c r="Y9" i="37"/>
  <c r="AJ5" i="37"/>
  <c r="AA6" i="37"/>
  <c r="AD6" i="37" s="1"/>
  <c r="J8" i="37"/>
  <c r="AQ8" i="37"/>
  <c r="U20" i="37"/>
  <c r="L20" i="37"/>
  <c r="O7" i="34" s="1"/>
  <c r="X9" i="37"/>
  <c r="U9" i="37"/>
  <c r="L9" i="37"/>
  <c r="M11" i="34" s="1"/>
  <c r="M15" i="37"/>
  <c r="S10" i="34" s="1"/>
  <c r="V15" i="37"/>
  <c r="G15" i="37"/>
  <c r="M6" i="37"/>
  <c r="R8" i="34" s="1"/>
  <c r="F6" i="37"/>
  <c r="F9" i="37"/>
  <c r="L7" i="37"/>
  <c r="M9" i="34" s="1"/>
  <c r="F7" i="37"/>
  <c r="AA7" i="37"/>
  <c r="AD7" i="37" s="1"/>
  <c r="X15" i="37"/>
  <c r="Y15" i="37"/>
  <c r="M12" i="37"/>
  <c r="S7" i="34" s="1"/>
  <c r="G12" i="37"/>
  <c r="AB12" i="37"/>
  <c r="AE12" i="37" s="1"/>
  <c r="AA15" i="37"/>
  <c r="AD15" i="37" s="1"/>
  <c r="Y6" i="37"/>
  <c r="AA9" i="37"/>
  <c r="AD9" i="37" s="1"/>
  <c r="U12" i="37"/>
  <c r="U21" i="37"/>
  <c r="L21" i="37"/>
  <c r="O8" i="34" s="1"/>
  <c r="F21" i="37"/>
  <c r="AB6" i="37"/>
  <c r="AE6" i="37" s="1"/>
  <c r="U7" i="37"/>
  <c r="AV7" i="37" s="1"/>
  <c r="AB9" i="37"/>
  <c r="AE9" i="37" s="1"/>
  <c r="V12" i="37"/>
  <c r="M20" i="37"/>
  <c r="T7" i="34" s="1"/>
  <c r="V20" i="37"/>
  <c r="AW20" i="37" s="1"/>
  <c r="M21" i="37"/>
  <c r="T8" i="34" s="1"/>
  <c r="V21" i="37"/>
  <c r="G21" i="37"/>
  <c r="M30" i="37"/>
  <c r="U9" i="34" s="1"/>
  <c r="Y30" i="37"/>
  <c r="AH30" i="37" s="1"/>
  <c r="V30" i="37"/>
  <c r="AW30" i="37" s="1"/>
  <c r="X7" i="37"/>
  <c r="X12" i="37"/>
  <c r="F20" i="37"/>
  <c r="M31" i="37"/>
  <c r="U10" i="34" s="1"/>
  <c r="Y31" i="37"/>
  <c r="AH31" i="37" s="1"/>
  <c r="V31" i="37"/>
  <c r="AW31" i="37" s="1"/>
  <c r="AH61" i="37"/>
  <c r="Y12" i="37"/>
  <c r="M14" i="37"/>
  <c r="S9" i="34" s="1"/>
  <c r="Y14" i="37"/>
  <c r="V14" i="37"/>
  <c r="AW14" i="37" s="1"/>
  <c r="G20" i="37"/>
  <c r="X21" i="37"/>
  <c r="G30" i="37"/>
  <c r="M32" i="37"/>
  <c r="U11" i="34" s="1"/>
  <c r="AB32" i="37"/>
  <c r="AE32" i="37" s="1"/>
  <c r="V32" i="37"/>
  <c r="AW32" i="37" s="1"/>
  <c r="Y32" i="37"/>
  <c r="AA23" i="37"/>
  <c r="M23" i="37"/>
  <c r="T10" i="34" s="1"/>
  <c r="V23" i="37"/>
  <c r="AB23" i="37"/>
  <c r="AE23" i="37" s="1"/>
  <c r="AA16" i="37"/>
  <c r="AD16" i="37" s="1"/>
  <c r="AA13" i="37"/>
  <c r="AD13" i="37" s="1"/>
  <c r="F16" i="37"/>
  <c r="G23" i="37"/>
  <c r="M25" i="37"/>
  <c r="T12" i="34" s="1"/>
  <c r="V25" i="37"/>
  <c r="AB25" i="37"/>
  <c r="AE25" i="37" s="1"/>
  <c r="L33" i="37"/>
  <c r="P12" i="34" s="1"/>
  <c r="U33" i="37"/>
  <c r="AV33" i="37" s="1"/>
  <c r="AJ61" i="37"/>
  <c r="R61" i="37" s="1"/>
  <c r="O61" i="37"/>
  <c r="AA25" i="37"/>
  <c r="AD25" i="37" s="1"/>
  <c r="AN61" i="37"/>
  <c r="AT61" i="37" s="1"/>
  <c r="AB24" i="37"/>
  <c r="AE24" i="37" s="1"/>
  <c r="AA29" i="37"/>
  <c r="AK61" i="37"/>
  <c r="S61" i="37" s="1"/>
  <c r="P61" i="37"/>
  <c r="AQ61" i="37"/>
  <c r="AA22" i="37"/>
  <c r="AD22" i="37" s="1"/>
  <c r="M7" i="37"/>
  <c r="R9" i="34" s="1"/>
  <c r="V7" i="37"/>
  <c r="M22" i="37"/>
  <c r="T9" i="34" s="1"/>
  <c r="AB22" i="37"/>
  <c r="AE22" i="37" s="1"/>
  <c r="AB7" i="37"/>
  <c r="AE7" i="37" s="1"/>
  <c r="M16" i="37"/>
  <c r="S11" i="34" s="1"/>
  <c r="F22" i="37"/>
  <c r="F23" i="37"/>
  <c r="AA24" i="37"/>
  <c r="AD24" i="37" s="1"/>
  <c r="M13" i="37"/>
  <c r="S8" i="34" s="1"/>
  <c r="V13" i="37"/>
  <c r="G16" i="37"/>
  <c r="F24" i="37"/>
  <c r="F25" i="37"/>
  <c r="AA28" i="37"/>
  <c r="AD28" i="37" s="1"/>
  <c r="M8" i="37"/>
  <c r="R10" i="34" s="1"/>
  <c r="AA8" i="37"/>
  <c r="AD8" i="37" s="1"/>
  <c r="G13" i="37"/>
  <c r="X14" i="37"/>
  <c r="M17" i="37"/>
  <c r="S12" i="34" s="1"/>
  <c r="V17" i="37"/>
  <c r="AA17" i="37"/>
  <c r="G25" i="37"/>
  <c r="AW28" i="37"/>
  <c r="M28" i="37"/>
  <c r="U7" i="34" s="1"/>
  <c r="AB28" i="37"/>
  <c r="AE28" i="37" s="1"/>
  <c r="M29" i="37"/>
  <c r="U8" i="34" s="1"/>
  <c r="V29" i="37"/>
  <c r="AB29" i="37"/>
  <c r="AE29" i="37" s="1"/>
  <c r="F33" i="37"/>
  <c r="AW24" i="37"/>
  <c r="M24" i="37"/>
  <c r="T11" i="34" s="1"/>
  <c r="M5" i="37"/>
  <c r="R7" i="34" s="1"/>
  <c r="V5" i="37"/>
  <c r="L23" i="37"/>
  <c r="O10" i="34" s="1"/>
  <c r="F29" i="37"/>
  <c r="AV31" i="37"/>
  <c r="U32" i="37"/>
  <c r="AG61" i="37"/>
  <c r="O9" i="36"/>
  <c r="AJ9" i="36"/>
  <c r="X12" i="36"/>
  <c r="F12" i="36"/>
  <c r="AA12" i="36"/>
  <c r="AD12" i="36" s="1"/>
  <c r="L12" i="36"/>
  <c r="N7" i="35" s="1"/>
  <c r="U12" i="36"/>
  <c r="AV12" i="36" s="1"/>
  <c r="P12" i="36"/>
  <c r="AK12" i="36"/>
  <c r="X16" i="36"/>
  <c r="F16" i="36"/>
  <c r="AA16" i="36"/>
  <c r="AD16" i="36" s="1"/>
  <c r="L16" i="36"/>
  <c r="N11" i="35" s="1"/>
  <c r="X20" i="36"/>
  <c r="F20" i="36"/>
  <c r="AA20" i="36"/>
  <c r="AD20" i="36" s="1"/>
  <c r="L20" i="36"/>
  <c r="O7" i="35" s="1"/>
  <c r="U20" i="36"/>
  <c r="AV20" i="36" s="1"/>
  <c r="U16" i="36"/>
  <c r="AV16" i="36" s="1"/>
  <c r="X6" i="36"/>
  <c r="F6" i="36"/>
  <c r="L6" i="36"/>
  <c r="M8" i="35" s="1"/>
  <c r="AA6" i="36"/>
  <c r="AD6" i="36" s="1"/>
  <c r="X14" i="36"/>
  <c r="F14" i="36"/>
  <c r="AA14" i="36"/>
  <c r="AD14" i="36" s="1"/>
  <c r="L14" i="36"/>
  <c r="N9" i="35" s="1"/>
  <c r="X22" i="36"/>
  <c r="F22" i="36"/>
  <c r="AA22" i="36"/>
  <c r="AD22" i="36" s="1"/>
  <c r="L22" i="36"/>
  <c r="O9" i="35" s="1"/>
  <c r="U6" i="36"/>
  <c r="AV6" i="36" s="1"/>
  <c r="U14" i="36"/>
  <c r="U22" i="36"/>
  <c r="X24" i="36"/>
  <c r="F24" i="36"/>
  <c r="G6" i="36"/>
  <c r="AB6" i="36"/>
  <c r="AE6" i="36" s="1"/>
  <c r="G12" i="36"/>
  <c r="AB12" i="36"/>
  <c r="AE12" i="36" s="1"/>
  <c r="G24" i="36"/>
  <c r="AB24" i="36"/>
  <c r="AE24" i="36" s="1"/>
  <c r="G30" i="36"/>
  <c r="AB30" i="36"/>
  <c r="AE30" i="36" s="1"/>
  <c r="U33" i="36"/>
  <c r="AV33" i="36" s="1"/>
  <c r="L24" i="36"/>
  <c r="O11" i="35" s="1"/>
  <c r="X7" i="36"/>
  <c r="F7" i="36"/>
  <c r="X9" i="36"/>
  <c r="F9" i="36"/>
  <c r="X13" i="36"/>
  <c r="F13" i="36"/>
  <c r="AH13" i="36"/>
  <c r="X15" i="36"/>
  <c r="F15" i="36"/>
  <c r="X17" i="36"/>
  <c r="F17" i="36"/>
  <c r="X21" i="36"/>
  <c r="F21" i="36"/>
  <c r="X25" i="36"/>
  <c r="F25" i="36"/>
  <c r="X29" i="36"/>
  <c r="F29" i="36"/>
  <c r="M30" i="36"/>
  <c r="U9" i="35" s="1"/>
  <c r="U61" i="36"/>
  <c r="AA7" i="36"/>
  <c r="AD7" i="36" s="1"/>
  <c r="AA9" i="36"/>
  <c r="AD9" i="36" s="1"/>
  <c r="AV9" i="36"/>
  <c r="AA13" i="36"/>
  <c r="AD13" i="36" s="1"/>
  <c r="AV13" i="36"/>
  <c r="AA15" i="36"/>
  <c r="AD15" i="36" s="1"/>
  <c r="AA17" i="36"/>
  <c r="AD17" i="36" s="1"/>
  <c r="AV17" i="36"/>
  <c r="AA21" i="36"/>
  <c r="AD21" i="36" s="1"/>
  <c r="AA25" i="36"/>
  <c r="AD25" i="36" s="1"/>
  <c r="AA29" i="36"/>
  <c r="AD29" i="36" s="1"/>
  <c r="AV29" i="36"/>
  <c r="AH61" i="36"/>
  <c r="AN61" i="36" s="1"/>
  <c r="AT61" i="36" s="1"/>
  <c r="X33" i="36"/>
  <c r="AG33" i="36" s="1"/>
  <c r="F33" i="36"/>
  <c r="AV61" i="36"/>
  <c r="X61" i="36"/>
  <c r="AG61" i="36" s="1"/>
  <c r="F61" i="36"/>
  <c r="AW61" i="36"/>
  <c r="AJ61" i="36"/>
  <c r="R61" i="36" s="1"/>
  <c r="AK61" i="36"/>
  <c r="S61" i="36" s="1"/>
  <c r="AA24" i="36"/>
  <c r="AD24" i="36" s="1"/>
  <c r="AV24" i="36"/>
  <c r="L33" i="36"/>
  <c r="P12" i="35" s="1"/>
  <c r="J61" i="36"/>
  <c r="AD8" i="35"/>
  <c r="J16" i="35"/>
  <c r="I18" i="35"/>
  <c r="I26" i="35"/>
  <c r="K26" i="35"/>
  <c r="AC10" i="35"/>
  <c r="AC26" i="35" s="1"/>
  <c r="J40" i="35"/>
  <c r="AN40" i="35" s="1"/>
  <c r="J35" i="35"/>
  <c r="AD12" i="35"/>
  <c r="AD20" i="35" s="1"/>
  <c r="AM36" i="35"/>
  <c r="X7" i="35"/>
  <c r="D39" i="35"/>
  <c r="AH39" i="35" s="1"/>
  <c r="AR8" i="35"/>
  <c r="D18" i="35"/>
  <c r="X10" i="35"/>
  <c r="D26" i="35"/>
  <c r="E47" i="35"/>
  <c r="AI47" i="35" s="1"/>
  <c r="E31" i="35"/>
  <c r="E23" i="35"/>
  <c r="AI7" i="35"/>
  <c r="D36" i="35"/>
  <c r="D28" i="35"/>
  <c r="X12" i="35"/>
  <c r="H48" i="35"/>
  <c r="AL48" i="35" s="1"/>
  <c r="AB8" i="35"/>
  <c r="H24" i="35"/>
  <c r="H40" i="35"/>
  <c r="AL40" i="35" s="1"/>
  <c r="E39" i="35"/>
  <c r="AI39" i="35" s="1"/>
  <c r="E40" i="35"/>
  <c r="AI40" i="35" s="1"/>
  <c r="X31" i="35"/>
  <c r="X47" i="35"/>
  <c r="X23" i="35"/>
  <c r="E32" i="35"/>
  <c r="H27" i="35"/>
  <c r="H35" i="35"/>
  <c r="H32" i="35"/>
  <c r="X11" i="35"/>
  <c r="J20" i="35"/>
  <c r="AN12" i="35"/>
  <c r="J36" i="35"/>
  <c r="D20" i="35"/>
  <c r="AL9" i="35"/>
  <c r="AB11" i="35"/>
  <c r="AH12" i="35"/>
  <c r="C49" i="35"/>
  <c r="AG49" i="35" s="1"/>
  <c r="C17" i="35"/>
  <c r="C33" i="35"/>
  <c r="AE10" i="35"/>
  <c r="D35" i="35"/>
  <c r="AL35" i="35"/>
  <c r="X39" i="35"/>
  <c r="H49" i="35"/>
  <c r="AL49" i="35" s="1"/>
  <c r="H33" i="35"/>
  <c r="AB9" i="35"/>
  <c r="AL19" i="35"/>
  <c r="AC36" i="35"/>
  <c r="E48" i="35"/>
  <c r="AI48" i="35" s="1"/>
  <c r="Y8" i="35"/>
  <c r="E16" i="35"/>
  <c r="H41" i="35"/>
  <c r="AL41" i="35" s="1"/>
  <c r="Y7" i="35"/>
  <c r="AH10" i="35"/>
  <c r="X15" i="35"/>
  <c r="H16" i="35"/>
  <c r="D19" i="35"/>
  <c r="I20" i="35"/>
  <c r="H25" i="35"/>
  <c r="D34" i="35"/>
  <c r="AL8" i="35"/>
  <c r="E49" i="35"/>
  <c r="AI49" i="35" s="1"/>
  <c r="E41" i="35"/>
  <c r="AI41" i="35" s="1"/>
  <c r="E33" i="35"/>
  <c r="E25" i="35"/>
  <c r="C48" i="35"/>
  <c r="AG48" i="35" s="1"/>
  <c r="AG8" i="35"/>
  <c r="C32" i="35"/>
  <c r="C24" i="35"/>
  <c r="AH11" i="35"/>
  <c r="E15" i="35"/>
  <c r="H19" i="35"/>
  <c r="AN11" i="35"/>
  <c r="J32" i="35"/>
  <c r="AH7" i="35"/>
  <c r="AN8" i="35"/>
  <c r="D23" i="35"/>
  <c r="D47" i="35"/>
  <c r="AH47" i="35" s="1"/>
  <c r="D49" i="35"/>
  <c r="AH49" i="35" s="1"/>
  <c r="AH9" i="35"/>
  <c r="AM10" i="35"/>
  <c r="AE18" i="34"/>
  <c r="AE34" i="34"/>
  <c r="K18" i="34"/>
  <c r="K34" i="34"/>
  <c r="K26" i="34"/>
  <c r="AL11" i="34"/>
  <c r="AL19" i="34" s="1"/>
  <c r="J35" i="34"/>
  <c r="H35" i="34"/>
  <c r="AC12" i="34"/>
  <c r="I28" i="34"/>
  <c r="K35" i="34"/>
  <c r="H17" i="34"/>
  <c r="N26" i="34"/>
  <c r="H40" i="34"/>
  <c r="AL40" i="34" s="1"/>
  <c r="AM12" i="34"/>
  <c r="AM36" i="34" s="1"/>
  <c r="J40" i="34"/>
  <c r="AN40" i="34" s="1"/>
  <c r="AB8" i="34"/>
  <c r="AB24" i="34" s="1"/>
  <c r="AN11" i="34"/>
  <c r="AN27" i="34" s="1"/>
  <c r="H24" i="34"/>
  <c r="I36" i="34"/>
  <c r="N34" i="34"/>
  <c r="AL8" i="34"/>
  <c r="AL24" i="34" s="1"/>
  <c r="H19" i="34"/>
  <c r="Z8" i="34"/>
  <c r="Z24" i="34" s="1"/>
  <c r="AJ8" i="34"/>
  <c r="AJ32" i="34" s="1"/>
  <c r="F23" i="34"/>
  <c r="E47" i="34"/>
  <c r="AI47" i="34" s="1"/>
  <c r="D49" i="34"/>
  <c r="AH49" i="34" s="1"/>
  <c r="F16" i="34"/>
  <c r="C23" i="34"/>
  <c r="AE26" i="34"/>
  <c r="K15" i="34"/>
  <c r="K23" i="34"/>
  <c r="AE7" i="34"/>
  <c r="AE31" i="34" s="1"/>
  <c r="K31" i="34"/>
  <c r="J26" i="34"/>
  <c r="AD10" i="34"/>
  <c r="I35" i="34"/>
  <c r="AC11" i="34"/>
  <c r="AC19" i="34" s="1"/>
  <c r="I27" i="34"/>
  <c r="AM11" i="34"/>
  <c r="AM19" i="34" s="1"/>
  <c r="H23" i="34"/>
  <c r="AB7" i="34"/>
  <c r="AB23" i="34" s="1"/>
  <c r="H39" i="34"/>
  <c r="AL39" i="34" s="1"/>
  <c r="H15" i="34"/>
  <c r="H47" i="34"/>
  <c r="AL47" i="34" s="1"/>
  <c r="F33" i="34"/>
  <c r="Z9" i="34"/>
  <c r="Z17" i="34" s="1"/>
  <c r="E39" i="34"/>
  <c r="AI39" i="34" s="1"/>
  <c r="E15" i="34"/>
  <c r="E23" i="34"/>
  <c r="F20" i="34"/>
  <c r="F36" i="34"/>
  <c r="F28" i="34"/>
  <c r="F17" i="34"/>
  <c r="AI18" i="34"/>
  <c r="AI34" i="34"/>
  <c r="AI26" i="34"/>
  <c r="AJ18" i="34"/>
  <c r="AJ34" i="34"/>
  <c r="AJ26" i="34"/>
  <c r="E34" i="34"/>
  <c r="I25" i="34"/>
  <c r="AI15" i="34"/>
  <c r="AI23" i="34"/>
  <c r="F19" i="34"/>
  <c r="Z11" i="34"/>
  <c r="F27" i="34"/>
  <c r="AJ15" i="34"/>
  <c r="AJ23" i="34"/>
  <c r="K25" i="34"/>
  <c r="AO9" i="34"/>
  <c r="K33" i="34"/>
  <c r="J36" i="34"/>
  <c r="AD12" i="34"/>
  <c r="AN12" i="34"/>
  <c r="W7" i="34"/>
  <c r="C39" i="34"/>
  <c r="AG39" i="34" s="1"/>
  <c r="C47" i="34"/>
  <c r="AG47" i="34" s="1"/>
  <c r="C31" i="34"/>
  <c r="AC9" i="34"/>
  <c r="AE32" i="34"/>
  <c r="AE16" i="34"/>
  <c r="AE24" i="34"/>
  <c r="AD9" i="34"/>
  <c r="C15" i="34"/>
  <c r="K16" i="34"/>
  <c r="K32" i="34"/>
  <c r="AO8" i="34"/>
  <c r="K24" i="34"/>
  <c r="O49" i="34"/>
  <c r="O41" i="34"/>
  <c r="O17" i="34"/>
  <c r="O33" i="34"/>
  <c r="O25" i="34"/>
  <c r="AE9" i="34"/>
  <c r="AI11" i="34"/>
  <c r="AJ28" i="34"/>
  <c r="F34" i="34"/>
  <c r="AH8" i="34"/>
  <c r="AJ11" i="34"/>
  <c r="J28" i="34"/>
  <c r="AI31" i="34"/>
  <c r="I34" i="34"/>
  <c r="F35" i="34"/>
  <c r="AH20" i="34"/>
  <c r="AJ31" i="34"/>
  <c r="J47" i="34"/>
  <c r="AN47" i="34" s="1"/>
  <c r="J31" i="34"/>
  <c r="J15" i="34"/>
  <c r="J23" i="34"/>
  <c r="AN7" i="34"/>
  <c r="AD7" i="34"/>
  <c r="AH10" i="34"/>
  <c r="D18" i="34"/>
  <c r="AM10" i="34"/>
  <c r="AH36" i="34"/>
  <c r="D40" i="34"/>
  <c r="AH40" i="34" s="1"/>
  <c r="C41" i="34"/>
  <c r="AG41" i="34" s="1"/>
  <c r="I49" i="34"/>
  <c r="AM49" i="34" s="1"/>
  <c r="I41" i="34"/>
  <c r="AM41" i="34" s="1"/>
  <c r="AM9" i="34"/>
  <c r="I17" i="34"/>
  <c r="H26" i="34"/>
  <c r="H18" i="34"/>
  <c r="W40" i="34"/>
  <c r="W48" i="34"/>
  <c r="E18" i="34"/>
  <c r="Y10" i="34"/>
  <c r="E26" i="34"/>
  <c r="C27" i="34"/>
  <c r="C35" i="34"/>
  <c r="C19" i="34"/>
  <c r="W11" i="34"/>
  <c r="C16" i="34"/>
  <c r="W16" i="34"/>
  <c r="AJ20" i="34"/>
  <c r="C48" i="34"/>
  <c r="AG48" i="34" s="1"/>
  <c r="AG31" i="34"/>
  <c r="AG23" i="34"/>
  <c r="X40" i="34"/>
  <c r="X48" i="34"/>
  <c r="F18" i="34"/>
  <c r="Z10" i="34"/>
  <c r="F26" i="34"/>
  <c r="D27" i="34"/>
  <c r="X11" i="34"/>
  <c r="D35" i="34"/>
  <c r="D19" i="34"/>
  <c r="D16" i="34"/>
  <c r="X16" i="34"/>
  <c r="C32" i="34"/>
  <c r="D48" i="34"/>
  <c r="AH48" i="34" s="1"/>
  <c r="Y8" i="34"/>
  <c r="E48" i="34"/>
  <c r="AI48" i="34" s="1"/>
  <c r="D25" i="34"/>
  <c r="D33" i="34"/>
  <c r="AH9" i="34"/>
  <c r="D28" i="34"/>
  <c r="D36" i="34"/>
  <c r="D20" i="34"/>
  <c r="X12" i="34"/>
  <c r="AO31" i="34"/>
  <c r="AO15" i="34"/>
  <c r="Y12" i="34"/>
  <c r="E31" i="34"/>
  <c r="Y7" i="34"/>
  <c r="H48" i="34"/>
  <c r="AL48" i="34" s="1"/>
  <c r="H32" i="34"/>
  <c r="J19" i="34"/>
  <c r="AD11" i="34"/>
  <c r="E28" i="34"/>
  <c r="F31" i="34"/>
  <c r="Z7" i="34"/>
  <c r="I48" i="34"/>
  <c r="AM48" i="34" s="1"/>
  <c r="AC8" i="34"/>
  <c r="I32" i="34"/>
  <c r="H49" i="34"/>
  <c r="AL49" i="34" s="1"/>
  <c r="H41" i="34"/>
  <c r="AL41" i="34" s="1"/>
  <c r="K19" i="34"/>
  <c r="AE11" i="34"/>
  <c r="AO11" i="34"/>
  <c r="AB11" i="34"/>
  <c r="J48" i="34"/>
  <c r="AN48" i="34" s="1"/>
  <c r="AD8" i="34"/>
  <c r="J16" i="34"/>
  <c r="AL7" i="34"/>
  <c r="AI9" i="34"/>
  <c r="AN10" i="34"/>
  <c r="Z12" i="34"/>
  <c r="I47" i="34"/>
  <c r="AM47" i="34" s="1"/>
  <c r="AM7" i="34"/>
  <c r="AJ9" i="34"/>
  <c r="AO10" i="34"/>
  <c r="E19" i="30"/>
  <c r="E13" i="30"/>
  <c r="E7" i="30"/>
  <c r="E20" i="30"/>
  <c r="E14" i="30"/>
  <c r="E8" i="30"/>
  <c r="E17" i="30"/>
  <c r="E18" i="30" s="1"/>
  <c r="E11" i="30"/>
  <c r="E12" i="30" s="1"/>
  <c r="D18" i="30"/>
  <c r="D12" i="30"/>
  <c r="D6" i="30"/>
  <c r="D20" i="30"/>
  <c r="D19" i="30"/>
  <c r="D17" i="30"/>
  <c r="D14" i="30"/>
  <c r="D13" i="30"/>
  <c r="D11" i="30"/>
  <c r="D7" i="30"/>
  <c r="D8" i="30"/>
  <c r="D5" i="30"/>
  <c r="S14" i="42" l="1"/>
  <c r="BA7" i="42"/>
  <c r="BD7" i="42" s="1"/>
  <c r="AU7" i="42"/>
  <c r="J6" i="38"/>
  <c r="AQ6" i="38"/>
  <c r="N28" i="34"/>
  <c r="N20" i="34"/>
  <c r="N36" i="34"/>
  <c r="F12" i="35"/>
  <c r="AA33" i="36"/>
  <c r="AD33" i="36" s="1"/>
  <c r="AO10" i="35"/>
  <c r="K34" i="35"/>
  <c r="K18" i="35"/>
  <c r="P10" i="34"/>
  <c r="O31" i="37"/>
  <c r="K9" i="35"/>
  <c r="Y30" i="36"/>
  <c r="F8" i="35"/>
  <c r="U29" i="36"/>
  <c r="Y12" i="35"/>
  <c r="AI12" i="35"/>
  <c r="E20" i="35"/>
  <c r="E28" i="35"/>
  <c r="E36" i="35"/>
  <c r="J27" i="35"/>
  <c r="AD11" i="35"/>
  <c r="J19" i="35"/>
  <c r="E11" i="35"/>
  <c r="U24" i="36"/>
  <c r="O11" i="34"/>
  <c r="AJ24" i="37"/>
  <c r="R24" i="37" s="1"/>
  <c r="Y9" i="35"/>
  <c r="AI9" i="35"/>
  <c r="E17" i="35"/>
  <c r="J24" i="35"/>
  <c r="J48" i="35"/>
  <c r="AN48" i="35" s="1"/>
  <c r="AI8" i="35"/>
  <c r="E24" i="35"/>
  <c r="N11" i="34"/>
  <c r="AJ16" i="37"/>
  <c r="R16" i="37" s="1"/>
  <c r="D33" i="35"/>
  <c r="X9" i="35"/>
  <c r="D17" i="35"/>
  <c r="D25" i="35"/>
  <c r="D41" i="35"/>
  <c r="AH41" i="35" s="1"/>
  <c r="N9" i="34"/>
  <c r="O14" i="37"/>
  <c r="I8" i="35"/>
  <c r="Y13" i="36"/>
  <c r="D8" i="35"/>
  <c r="U13" i="36"/>
  <c r="I7" i="35"/>
  <c r="M12" i="36"/>
  <c r="S7" i="35" s="1"/>
  <c r="D15" i="35"/>
  <c r="D31" i="35"/>
  <c r="AB9" i="34"/>
  <c r="AL9" i="34"/>
  <c r="H25" i="34"/>
  <c r="H33" i="34"/>
  <c r="C11" i="35"/>
  <c r="U9" i="36"/>
  <c r="W8" i="35"/>
  <c r="C40" i="35"/>
  <c r="AG40" i="35" s="1"/>
  <c r="C16" i="35"/>
  <c r="W9" i="35"/>
  <c r="AG9" i="35"/>
  <c r="C25" i="35"/>
  <c r="C41" i="35"/>
  <c r="AG41" i="35" s="1"/>
  <c r="C26" i="34"/>
  <c r="C34" i="34"/>
  <c r="AH25" i="36"/>
  <c r="AN25" i="36" s="1"/>
  <c r="AT25" i="36" s="1"/>
  <c r="AN15" i="36"/>
  <c r="AT15" i="36" s="1"/>
  <c r="AH20" i="37"/>
  <c r="AN20" i="37" s="1"/>
  <c r="AT20" i="37" s="1"/>
  <c r="AH21" i="37"/>
  <c r="AN21" i="37" s="1"/>
  <c r="AT21" i="37" s="1"/>
  <c r="AH13" i="37"/>
  <c r="AN13" i="37" s="1"/>
  <c r="AT13" i="37" s="1"/>
  <c r="AH15" i="37"/>
  <c r="AN15" i="37" s="1"/>
  <c r="AT15" i="37" s="1"/>
  <c r="AG12" i="37"/>
  <c r="AM12" i="37" s="1"/>
  <c r="AS12" i="37" s="1"/>
  <c r="AH16" i="37"/>
  <c r="AN16" i="37" s="1"/>
  <c r="AT16" i="37" s="1"/>
  <c r="AN8" i="37"/>
  <c r="AG13" i="37"/>
  <c r="AM13" i="37" s="1"/>
  <c r="AG30" i="37"/>
  <c r="AM30" i="37" s="1"/>
  <c r="AS30" i="37" s="1"/>
  <c r="AG5" i="37"/>
  <c r="AM5" i="37" s="1"/>
  <c r="AS5" i="37" s="1"/>
  <c r="AG15" i="37"/>
  <c r="AM15" i="37" s="1"/>
  <c r="AH14" i="37"/>
  <c r="AN14" i="37" s="1"/>
  <c r="AT14" i="37" s="1"/>
  <c r="AG21" i="37"/>
  <c r="AM21" i="37" s="1"/>
  <c r="AS21" i="37" s="1"/>
  <c r="AG14" i="37"/>
  <c r="AM14" i="37" s="1"/>
  <c r="I31" i="37"/>
  <c r="AY31" i="37" s="1"/>
  <c r="BB31" i="37" s="1"/>
  <c r="AP31" i="37"/>
  <c r="F24" i="34"/>
  <c r="F32" i="34"/>
  <c r="AJ7" i="34"/>
  <c r="F15" i="34"/>
  <c r="E36" i="34"/>
  <c r="AI12" i="34"/>
  <c r="E20" i="34"/>
  <c r="J24" i="37"/>
  <c r="AQ24" i="37"/>
  <c r="Y11" i="34"/>
  <c r="E19" i="34"/>
  <c r="E27" i="34"/>
  <c r="E35" i="34"/>
  <c r="AN9" i="34"/>
  <c r="J41" i="34"/>
  <c r="AN41" i="34" s="1"/>
  <c r="J33" i="34"/>
  <c r="J25" i="34"/>
  <c r="J49" i="34"/>
  <c r="AN49" i="34" s="1"/>
  <c r="J17" i="34"/>
  <c r="J22" i="37"/>
  <c r="AQ22" i="37"/>
  <c r="E49" i="34"/>
  <c r="AI49" i="34" s="1"/>
  <c r="E17" i="34"/>
  <c r="E25" i="34"/>
  <c r="E33" i="34"/>
  <c r="Y9" i="34"/>
  <c r="E41" i="34"/>
  <c r="AI41" i="34" s="1"/>
  <c r="O9" i="34"/>
  <c r="O22" i="37"/>
  <c r="AJ22" i="37"/>
  <c r="R22" i="37" s="1"/>
  <c r="J32" i="34"/>
  <c r="AN8" i="34"/>
  <c r="J24" i="34"/>
  <c r="E16" i="34"/>
  <c r="AI8" i="34"/>
  <c r="E40" i="34"/>
  <c r="AI40" i="34" s="1"/>
  <c r="E24" i="34"/>
  <c r="E32" i="34"/>
  <c r="AH35" i="34"/>
  <c r="AH19" i="34"/>
  <c r="AH27" i="34"/>
  <c r="AC10" i="34"/>
  <c r="I26" i="34"/>
  <c r="I18" i="34"/>
  <c r="D34" i="34"/>
  <c r="X10" i="34"/>
  <c r="D26" i="34"/>
  <c r="N10" i="34"/>
  <c r="N18" i="34" s="1"/>
  <c r="O15" i="37"/>
  <c r="AJ15" i="37"/>
  <c r="R15" i="37" s="1"/>
  <c r="I14" i="37"/>
  <c r="AP14" i="37"/>
  <c r="D17" i="34"/>
  <c r="D41" i="34"/>
  <c r="AH41" i="34" s="1"/>
  <c r="X9" i="34"/>
  <c r="I16" i="34"/>
  <c r="I40" i="34"/>
  <c r="AM40" i="34" s="1"/>
  <c r="AM8" i="34"/>
  <c r="I24" i="34"/>
  <c r="I13" i="37"/>
  <c r="AP13" i="37"/>
  <c r="X8" i="34"/>
  <c r="D24" i="34"/>
  <c r="D32" i="34"/>
  <c r="I39" i="34"/>
  <c r="AM39" i="34" s="1"/>
  <c r="I23" i="34"/>
  <c r="AC7" i="34"/>
  <c r="I15" i="34"/>
  <c r="I31" i="34"/>
  <c r="D23" i="34"/>
  <c r="D39" i="34"/>
  <c r="AH39" i="34" s="1"/>
  <c r="D31" i="34"/>
  <c r="AR8" i="34"/>
  <c r="D15" i="34"/>
  <c r="D47" i="34"/>
  <c r="AH47" i="34" s="1"/>
  <c r="X7" i="34"/>
  <c r="AH7" i="34"/>
  <c r="J7" i="37"/>
  <c r="AQ7" i="37"/>
  <c r="AL10" i="34"/>
  <c r="AB10" i="34"/>
  <c r="H34" i="34"/>
  <c r="AG35" i="34"/>
  <c r="AG27" i="34"/>
  <c r="AG19" i="34"/>
  <c r="W8" i="34"/>
  <c r="C24" i="34"/>
  <c r="AG8" i="34"/>
  <c r="C40" i="34"/>
  <c r="AG40" i="34" s="1"/>
  <c r="C17" i="34"/>
  <c r="W9" i="34"/>
  <c r="C25" i="34"/>
  <c r="C49" i="34"/>
  <c r="AG49" i="34" s="1"/>
  <c r="C33" i="34"/>
  <c r="AG9" i="34"/>
  <c r="C18" i="34"/>
  <c r="AG10" i="34"/>
  <c r="W10" i="34"/>
  <c r="AQ32" i="37"/>
  <c r="J32" i="37"/>
  <c r="G32" i="36"/>
  <c r="K11" i="35"/>
  <c r="Y32" i="36"/>
  <c r="V32" i="36"/>
  <c r="AW32" i="36"/>
  <c r="L32" i="36"/>
  <c r="X32" i="36"/>
  <c r="AG32" i="36" s="1"/>
  <c r="F32" i="36"/>
  <c r="F11" i="35"/>
  <c r="U32" i="36"/>
  <c r="AA32" i="36"/>
  <c r="AD32" i="36" s="1"/>
  <c r="P31" i="36"/>
  <c r="U10" i="35"/>
  <c r="AK31" i="36"/>
  <c r="S31" i="36" s="1"/>
  <c r="AQ31" i="36"/>
  <c r="J31" i="36"/>
  <c r="AZ31" i="36" s="1"/>
  <c r="BC31" i="36" s="1"/>
  <c r="AD31" i="37"/>
  <c r="AG31" i="37"/>
  <c r="AM31" i="37" s="1"/>
  <c r="AS31" i="37" s="1"/>
  <c r="L31" i="36"/>
  <c r="AA31" i="36"/>
  <c r="AD31" i="36" s="1"/>
  <c r="U31" i="36"/>
  <c r="AV31" i="36" s="1"/>
  <c r="F31" i="36"/>
  <c r="F10" i="35"/>
  <c r="X31" i="36"/>
  <c r="AG31" i="36" s="1"/>
  <c r="AM31" i="36" s="1"/>
  <c r="AS31" i="36" s="1"/>
  <c r="U30" i="36"/>
  <c r="L30" i="36"/>
  <c r="AJ30" i="36" s="1"/>
  <c r="R30" i="36" s="1"/>
  <c r="AA30" i="36"/>
  <c r="AD30" i="36" s="1"/>
  <c r="F9" i="35"/>
  <c r="AV30" i="36"/>
  <c r="X30" i="36"/>
  <c r="AG30" i="36" s="1"/>
  <c r="AM30" i="36" s="1"/>
  <c r="AS30" i="36" s="1"/>
  <c r="F30" i="36"/>
  <c r="AQ29" i="37"/>
  <c r="J29" i="37"/>
  <c r="AW29" i="36"/>
  <c r="AB29" i="36"/>
  <c r="AE29" i="36" s="1"/>
  <c r="M29" i="36"/>
  <c r="Y29" i="36"/>
  <c r="AH29" i="36" s="1"/>
  <c r="K8" i="35"/>
  <c r="J28" i="37"/>
  <c r="AQ28" i="37"/>
  <c r="Y28" i="36"/>
  <c r="M28" i="36"/>
  <c r="AK28" i="36" s="1"/>
  <c r="S28" i="36" s="1"/>
  <c r="V28" i="36"/>
  <c r="AW28" i="36" s="1"/>
  <c r="AB28" i="36"/>
  <c r="G28" i="36"/>
  <c r="K7" i="35"/>
  <c r="AJ28" i="37"/>
  <c r="P7" i="34"/>
  <c r="O28" i="37"/>
  <c r="U28" i="36"/>
  <c r="X28" i="36"/>
  <c r="AG28" i="36" s="1"/>
  <c r="AM28" i="36" s="1"/>
  <c r="AS28" i="36" s="1"/>
  <c r="F7" i="35"/>
  <c r="AV28" i="36"/>
  <c r="F28" i="36"/>
  <c r="AA28" i="36"/>
  <c r="AD28" i="36" s="1"/>
  <c r="L28" i="36"/>
  <c r="AQ25" i="36"/>
  <c r="J25" i="36"/>
  <c r="O25" i="36"/>
  <c r="O12" i="35"/>
  <c r="AJ25" i="36"/>
  <c r="R25" i="36" s="1"/>
  <c r="AK24" i="36"/>
  <c r="S24" i="36" s="1"/>
  <c r="P24" i="36"/>
  <c r="T11" i="35"/>
  <c r="V23" i="36"/>
  <c r="AW23" i="36" s="1"/>
  <c r="AB23" i="36"/>
  <c r="AE23" i="36" s="1"/>
  <c r="J10" i="35"/>
  <c r="AA23" i="36"/>
  <c r="AD23" i="36" s="1"/>
  <c r="X23" i="36"/>
  <c r="AG23" i="36" s="1"/>
  <c r="AM23" i="36" s="1"/>
  <c r="AS23" i="36" s="1"/>
  <c r="F23" i="36"/>
  <c r="E10" i="35"/>
  <c r="J9" i="35"/>
  <c r="G22" i="36"/>
  <c r="AB22" i="36"/>
  <c r="AE22" i="36" s="1"/>
  <c r="AK21" i="36"/>
  <c r="S21" i="36" s="1"/>
  <c r="P21" i="36"/>
  <c r="T8" i="35"/>
  <c r="J21" i="36"/>
  <c r="AQ21" i="36"/>
  <c r="O21" i="36"/>
  <c r="O8" i="35"/>
  <c r="AJ21" i="36"/>
  <c r="R21" i="36" s="1"/>
  <c r="Y20" i="36"/>
  <c r="AB20" i="36"/>
  <c r="J7" i="35"/>
  <c r="V20" i="36"/>
  <c r="M20" i="36"/>
  <c r="AK20" i="36" s="1"/>
  <c r="S20" i="36" s="1"/>
  <c r="AW20" i="36"/>
  <c r="G20" i="36"/>
  <c r="AB16" i="36"/>
  <c r="AE16" i="36" s="1"/>
  <c r="G16" i="36"/>
  <c r="I11" i="35"/>
  <c r="AQ15" i="36"/>
  <c r="J15" i="36"/>
  <c r="AZ15" i="36" s="1"/>
  <c r="BC15" i="36" s="1"/>
  <c r="O15" i="36"/>
  <c r="N10" i="35"/>
  <c r="AJ15" i="36"/>
  <c r="R15" i="36" s="1"/>
  <c r="G14" i="36"/>
  <c r="AB14" i="36"/>
  <c r="AE14" i="36" s="1"/>
  <c r="I9" i="35"/>
  <c r="P6" i="36"/>
  <c r="R8" i="35"/>
  <c r="AK6" i="36"/>
  <c r="S6" i="36" s="1"/>
  <c r="R9" i="35"/>
  <c r="P7" i="36"/>
  <c r="AK7" i="36"/>
  <c r="S7" i="36" s="1"/>
  <c r="J7" i="36"/>
  <c r="AQ7" i="36"/>
  <c r="G8" i="36"/>
  <c r="H10" i="35"/>
  <c r="AB8" i="36"/>
  <c r="AE8" i="36" s="1"/>
  <c r="AK9" i="36"/>
  <c r="S9" i="36" s="1"/>
  <c r="R11" i="35"/>
  <c r="P9" i="36"/>
  <c r="H23" i="35"/>
  <c r="AB7" i="35"/>
  <c r="AL7" i="35"/>
  <c r="H31" i="35"/>
  <c r="H47" i="35"/>
  <c r="AL47" i="35" s="1"/>
  <c r="H39" i="35"/>
  <c r="AL39" i="35" s="1"/>
  <c r="H15" i="35"/>
  <c r="O7" i="36"/>
  <c r="M9" i="35"/>
  <c r="AJ7" i="36"/>
  <c r="R7" i="36" s="1"/>
  <c r="F8" i="36"/>
  <c r="U8" i="36"/>
  <c r="AV8" i="36" s="1"/>
  <c r="L8" i="36"/>
  <c r="X8" i="36"/>
  <c r="AG8" i="36" s="1"/>
  <c r="AM8" i="36" s="1"/>
  <c r="AS8" i="36" s="1"/>
  <c r="AA8" i="36"/>
  <c r="AD8" i="36" s="1"/>
  <c r="C10" i="35"/>
  <c r="U5" i="36"/>
  <c r="F5" i="36"/>
  <c r="AV5" i="36"/>
  <c r="AA5" i="36"/>
  <c r="AD5" i="36" s="1"/>
  <c r="X5" i="36"/>
  <c r="AG5" i="36" s="1"/>
  <c r="AM5" i="36" s="1"/>
  <c r="AS5" i="36" s="1"/>
  <c r="L5" i="36"/>
  <c r="C7" i="35"/>
  <c r="O29" i="36"/>
  <c r="P8" i="35"/>
  <c r="O17" i="36"/>
  <c r="N12" i="35"/>
  <c r="P25" i="36"/>
  <c r="T12" i="35"/>
  <c r="N40" i="35"/>
  <c r="N48" i="35"/>
  <c r="N32" i="35"/>
  <c r="N24" i="35"/>
  <c r="N16" i="35"/>
  <c r="P13" i="36"/>
  <c r="S8" i="35"/>
  <c r="P15" i="36"/>
  <c r="S10" i="35"/>
  <c r="M27" i="35"/>
  <c r="M19" i="35"/>
  <c r="M35" i="35"/>
  <c r="P24" i="34"/>
  <c r="P32" i="34"/>
  <c r="P16" i="34"/>
  <c r="O32" i="37"/>
  <c r="P11" i="34"/>
  <c r="M34" i="34"/>
  <c r="M26" i="34"/>
  <c r="M18" i="34"/>
  <c r="O30" i="37"/>
  <c r="P9" i="34"/>
  <c r="AJ25" i="37"/>
  <c r="O12" i="34"/>
  <c r="N16" i="34"/>
  <c r="N32" i="34"/>
  <c r="N48" i="34"/>
  <c r="N24" i="34"/>
  <c r="N40" i="34"/>
  <c r="O5" i="37"/>
  <c r="M7" i="34"/>
  <c r="M40" i="34"/>
  <c r="M16" i="34"/>
  <c r="M32" i="34"/>
  <c r="M24" i="34"/>
  <c r="M48" i="34"/>
  <c r="R19" i="34"/>
  <c r="R35" i="34"/>
  <c r="R27" i="34"/>
  <c r="N15" i="34"/>
  <c r="AR7" i="34"/>
  <c r="N23" i="34"/>
  <c r="N31" i="34"/>
  <c r="N39" i="34"/>
  <c r="N47" i="34"/>
  <c r="O31" i="34"/>
  <c r="O15" i="34"/>
  <c r="O23" i="34"/>
  <c r="O47" i="34"/>
  <c r="O39" i="34"/>
  <c r="M19" i="34"/>
  <c r="M35" i="34"/>
  <c r="M27" i="34"/>
  <c r="S18" i="34"/>
  <c r="S26" i="34"/>
  <c r="S34" i="34"/>
  <c r="R24" i="34"/>
  <c r="R40" i="34"/>
  <c r="R32" i="34"/>
  <c r="R48" i="34"/>
  <c r="R16" i="34"/>
  <c r="M25" i="34"/>
  <c r="M33" i="34"/>
  <c r="M41" i="34"/>
  <c r="M49" i="34"/>
  <c r="M17" i="34"/>
  <c r="S47" i="34"/>
  <c r="S23" i="34"/>
  <c r="S39" i="34"/>
  <c r="S15" i="34"/>
  <c r="S31" i="34"/>
  <c r="O32" i="34"/>
  <c r="O40" i="34"/>
  <c r="O16" i="34"/>
  <c r="O24" i="34"/>
  <c r="O48" i="34"/>
  <c r="T47" i="34"/>
  <c r="T15" i="34"/>
  <c r="T23" i="34"/>
  <c r="T39" i="34"/>
  <c r="T31" i="34"/>
  <c r="T48" i="34"/>
  <c r="T16" i="34"/>
  <c r="T24" i="34"/>
  <c r="T40" i="34"/>
  <c r="T32" i="34"/>
  <c r="U33" i="34"/>
  <c r="U25" i="34"/>
  <c r="U17" i="34"/>
  <c r="U26" i="34"/>
  <c r="U18" i="34"/>
  <c r="U34" i="34"/>
  <c r="S25" i="34"/>
  <c r="S41" i="34"/>
  <c r="S49" i="34"/>
  <c r="S17" i="34"/>
  <c r="S33" i="34"/>
  <c r="U35" i="34"/>
  <c r="U19" i="34"/>
  <c r="U27" i="34"/>
  <c r="AD23" i="37"/>
  <c r="AG23" i="37"/>
  <c r="AM23" i="37" s="1"/>
  <c r="AS23" i="37" s="1"/>
  <c r="T26" i="34"/>
  <c r="T34" i="34"/>
  <c r="T18" i="34"/>
  <c r="T28" i="34"/>
  <c r="T20" i="34"/>
  <c r="T36" i="34"/>
  <c r="P36" i="34"/>
  <c r="P20" i="34"/>
  <c r="P28" i="34"/>
  <c r="R33" i="34"/>
  <c r="R49" i="34"/>
  <c r="R25" i="34"/>
  <c r="R41" i="34"/>
  <c r="R17" i="34"/>
  <c r="T17" i="34"/>
  <c r="T49" i="34"/>
  <c r="T33" i="34"/>
  <c r="T41" i="34"/>
  <c r="T25" i="34"/>
  <c r="S19" i="34"/>
  <c r="S27" i="34"/>
  <c r="S35" i="34"/>
  <c r="S24" i="34"/>
  <c r="S48" i="34"/>
  <c r="S16" i="34"/>
  <c r="S40" i="34"/>
  <c r="S32" i="34"/>
  <c r="R18" i="34"/>
  <c r="R26" i="34"/>
  <c r="R34" i="34"/>
  <c r="U15" i="34"/>
  <c r="U23" i="34"/>
  <c r="U31" i="34"/>
  <c r="U16" i="34"/>
  <c r="U32" i="34"/>
  <c r="U24" i="34"/>
  <c r="T19" i="34"/>
  <c r="T27" i="34"/>
  <c r="T35" i="34"/>
  <c r="R23" i="34"/>
  <c r="R39" i="34"/>
  <c r="R15" i="34"/>
  <c r="R47" i="34"/>
  <c r="R31" i="34"/>
  <c r="O18" i="34"/>
  <c r="O26" i="34"/>
  <c r="O34" i="34"/>
  <c r="N23" i="35"/>
  <c r="N47" i="35"/>
  <c r="N31" i="35"/>
  <c r="N39" i="35"/>
  <c r="AR7" i="35"/>
  <c r="N15" i="35"/>
  <c r="N35" i="35"/>
  <c r="N19" i="35"/>
  <c r="N27" i="35"/>
  <c r="O23" i="35"/>
  <c r="O47" i="35"/>
  <c r="O15" i="35"/>
  <c r="O31" i="35"/>
  <c r="O39" i="35"/>
  <c r="M16" i="35"/>
  <c r="M48" i="35"/>
  <c r="M40" i="35"/>
  <c r="M24" i="35"/>
  <c r="M32" i="35"/>
  <c r="N17" i="35"/>
  <c r="N41" i="35"/>
  <c r="N49" i="35"/>
  <c r="N25" i="35"/>
  <c r="N33" i="35"/>
  <c r="O41" i="35"/>
  <c r="O49" i="35"/>
  <c r="O17" i="35"/>
  <c r="O25" i="35"/>
  <c r="O33" i="35"/>
  <c r="O27" i="35"/>
  <c r="O35" i="35"/>
  <c r="O19" i="35"/>
  <c r="U17" i="35"/>
  <c r="U25" i="35"/>
  <c r="U33" i="35"/>
  <c r="P36" i="35"/>
  <c r="P28" i="35"/>
  <c r="P20" i="35"/>
  <c r="AD40" i="35"/>
  <c r="AD24" i="35"/>
  <c r="AN35" i="34"/>
  <c r="AN19" i="34"/>
  <c r="AQ20" i="42"/>
  <c r="J20" i="42"/>
  <c r="AZ20" i="42" s="1"/>
  <c r="BC20" i="42" s="1"/>
  <c r="J14" i="42"/>
  <c r="AZ14" i="42" s="1"/>
  <c r="BC14" i="42" s="1"/>
  <c r="AQ14" i="42"/>
  <c r="AL7" i="42"/>
  <c r="T7" i="42" s="1"/>
  <c r="Q7" i="42"/>
  <c r="AX8" i="42"/>
  <c r="AZ7" i="42"/>
  <c r="BC7" i="42" s="1"/>
  <c r="AZ20" i="41"/>
  <c r="BC20" i="41" s="1"/>
  <c r="AI8" i="42"/>
  <c r="AO8" i="42" s="1"/>
  <c r="AU5" i="41"/>
  <c r="BA5" i="41"/>
  <c r="BD5" i="41" s="1"/>
  <c r="AI12" i="40"/>
  <c r="AI19" i="38"/>
  <c r="AO19" i="38" s="1"/>
  <c r="BA18" i="40"/>
  <c r="BD18" i="40" s="1"/>
  <c r="AU18" i="40"/>
  <c r="AB32" i="36"/>
  <c r="M32" i="36"/>
  <c r="U11" i="35" s="1"/>
  <c r="M23" i="36"/>
  <c r="T10" i="35" s="1"/>
  <c r="Y23" i="36"/>
  <c r="AH23" i="36" s="1"/>
  <c r="AN23" i="36" s="1"/>
  <c r="AT23" i="36" s="1"/>
  <c r="G23" i="36"/>
  <c r="U23" i="36"/>
  <c r="AV23" i="36" s="1"/>
  <c r="L23" i="36"/>
  <c r="O10" i="35" s="1"/>
  <c r="Y22" i="36"/>
  <c r="AH22" i="36" s="1"/>
  <c r="AN22" i="36" s="1"/>
  <c r="AT22" i="36" s="1"/>
  <c r="V22" i="36"/>
  <c r="AW22" i="36" s="1"/>
  <c r="M22" i="36"/>
  <c r="T9" i="35" s="1"/>
  <c r="M14" i="36"/>
  <c r="S9" i="35" s="1"/>
  <c r="V14" i="36"/>
  <c r="Y14" i="36"/>
  <c r="M8" i="36"/>
  <c r="R10" i="35" s="1"/>
  <c r="V8" i="36"/>
  <c r="AW8" i="36" s="1"/>
  <c r="Y8" i="36"/>
  <c r="AH8" i="36" s="1"/>
  <c r="AN8" i="36" s="1"/>
  <c r="AT8" i="36" s="1"/>
  <c r="AH7" i="36"/>
  <c r="AN7" i="36" s="1"/>
  <c r="R25" i="37"/>
  <c r="R9" i="36"/>
  <c r="V29" i="36"/>
  <c r="AN29" i="36" s="1"/>
  <c r="AT29" i="36" s="1"/>
  <c r="G29" i="36"/>
  <c r="Y16" i="36"/>
  <c r="AH16" i="36" s="1"/>
  <c r="AN16" i="36" s="1"/>
  <c r="AT16" i="36" s="1"/>
  <c r="M16" i="36"/>
  <c r="S11" i="35" s="1"/>
  <c r="V16" i="36"/>
  <c r="AW16" i="36" s="1"/>
  <c r="AB5" i="36"/>
  <c r="AE5" i="36" s="1"/>
  <c r="G5" i="36"/>
  <c r="M5" i="36"/>
  <c r="V5" i="36"/>
  <c r="Y5" i="36"/>
  <c r="AH5" i="36" s="1"/>
  <c r="J14" i="37"/>
  <c r="AQ14" i="37"/>
  <c r="AP8" i="37"/>
  <c r="I8" i="37"/>
  <c r="AQ5" i="37"/>
  <c r="J5" i="37"/>
  <c r="AP30" i="37"/>
  <c r="I30" i="37"/>
  <c r="AY30" i="37" s="1"/>
  <c r="BB30" i="37" s="1"/>
  <c r="AH18" i="42"/>
  <c r="AH12" i="42"/>
  <c r="AN12" i="42" s="1"/>
  <c r="AT12" i="42" s="1"/>
  <c r="AZ11" i="42"/>
  <c r="BC11" i="42" s="1"/>
  <c r="AZ19" i="40"/>
  <c r="BC19" i="40" s="1"/>
  <c r="AZ17" i="40"/>
  <c r="BC17" i="40" s="1"/>
  <c r="AZ5" i="40"/>
  <c r="BC5" i="40" s="1"/>
  <c r="BA19" i="42"/>
  <c r="BD19" i="42" s="1"/>
  <c r="BA11" i="42"/>
  <c r="BD11" i="42" s="1"/>
  <c r="BA14" i="42"/>
  <c r="BD14" i="42" s="1"/>
  <c r="BA6" i="42"/>
  <c r="BD6" i="42" s="1"/>
  <c r="AU5" i="42"/>
  <c r="BA5" i="42"/>
  <c r="BD5" i="42" s="1"/>
  <c r="K12" i="42"/>
  <c r="AR12" i="42"/>
  <c r="AZ19" i="42"/>
  <c r="BC19" i="42" s="1"/>
  <c r="AZ17" i="42"/>
  <c r="BC17" i="42" s="1"/>
  <c r="J12" i="42"/>
  <c r="AQ12" i="42"/>
  <c r="J6" i="42"/>
  <c r="AQ6" i="42"/>
  <c r="Q12" i="42"/>
  <c r="AL12" i="42"/>
  <c r="T12" i="42" s="1"/>
  <c r="AI12" i="42"/>
  <c r="AO12" i="42" s="1"/>
  <c r="AU12" i="42" s="1"/>
  <c r="AN6" i="42"/>
  <c r="AT6" i="42" s="1"/>
  <c r="J18" i="42"/>
  <c r="AQ18" i="42"/>
  <c r="BA17" i="42"/>
  <c r="BD17" i="42" s="1"/>
  <c r="P12" i="42"/>
  <c r="AK12" i="42"/>
  <c r="S12" i="42" s="1"/>
  <c r="AN18" i="42"/>
  <c r="AT18" i="42" s="1"/>
  <c r="BA18" i="42"/>
  <c r="BD18" i="42" s="1"/>
  <c r="P6" i="42"/>
  <c r="AK6" i="42"/>
  <c r="S6" i="42" s="1"/>
  <c r="AZ13" i="42"/>
  <c r="BC13" i="42" s="1"/>
  <c r="P18" i="42"/>
  <c r="AK18" i="42"/>
  <c r="S18" i="42" s="1"/>
  <c r="AW18" i="42"/>
  <c r="AU19" i="41"/>
  <c r="BA19" i="41"/>
  <c r="BD19" i="41" s="1"/>
  <c r="AZ18" i="41"/>
  <c r="BC18" i="41" s="1"/>
  <c r="BA20" i="41"/>
  <c r="BD20" i="41" s="1"/>
  <c r="AZ12" i="41"/>
  <c r="BC12" i="41" s="1"/>
  <c r="AZ13" i="41"/>
  <c r="BC13" i="41" s="1"/>
  <c r="AU8" i="41"/>
  <c r="BA8" i="41"/>
  <c r="BD8" i="41" s="1"/>
  <c r="AU7" i="41"/>
  <c r="BA7" i="41"/>
  <c r="BD7" i="41" s="1"/>
  <c r="BA6" i="41"/>
  <c r="BD6" i="41" s="1"/>
  <c r="AH6" i="41"/>
  <c r="AN6" i="41" s="1"/>
  <c r="AT6" i="41" s="1"/>
  <c r="AT5" i="41"/>
  <c r="AZ5" i="41"/>
  <c r="BC5" i="41" s="1"/>
  <c r="J6" i="41"/>
  <c r="AQ6" i="41"/>
  <c r="P6" i="41"/>
  <c r="AK6" i="41"/>
  <c r="S6" i="41" s="1"/>
  <c r="BA18" i="41"/>
  <c r="BD18" i="41" s="1"/>
  <c r="BA12" i="41"/>
  <c r="BD12" i="41" s="1"/>
  <c r="BA19" i="40"/>
  <c r="BD19" i="40" s="1"/>
  <c r="AK25" i="36"/>
  <c r="S25" i="36" s="1"/>
  <c r="AJ17" i="36"/>
  <c r="R17" i="36" s="1"/>
  <c r="AJ29" i="36"/>
  <c r="R29" i="36" s="1"/>
  <c r="J13" i="36"/>
  <c r="AM20" i="35"/>
  <c r="AC28" i="35"/>
  <c r="AB17" i="36"/>
  <c r="AE17" i="36" s="1"/>
  <c r="Y17" i="36"/>
  <c r="V17" i="36"/>
  <c r="AW17" i="36" s="1"/>
  <c r="M17" i="36"/>
  <c r="S12" i="35" s="1"/>
  <c r="G17" i="36"/>
  <c r="AN13" i="36"/>
  <c r="AT13" i="36" s="1"/>
  <c r="AK13" i="36"/>
  <c r="S13" i="36" s="1"/>
  <c r="AU14" i="40"/>
  <c r="BA14" i="40"/>
  <c r="BD14" i="40" s="1"/>
  <c r="K12" i="40"/>
  <c r="AR12" i="40"/>
  <c r="AZ6" i="40"/>
  <c r="BC6" i="40" s="1"/>
  <c r="AH18" i="40"/>
  <c r="AN18" i="40" s="1"/>
  <c r="AT18" i="40" s="1"/>
  <c r="BA11" i="40"/>
  <c r="BD11" i="40" s="1"/>
  <c r="J18" i="40"/>
  <c r="AQ18" i="40"/>
  <c r="AZ20" i="40"/>
  <c r="BC20" i="40" s="1"/>
  <c r="AZ13" i="40"/>
  <c r="BC13" i="40" s="1"/>
  <c r="AL12" i="40"/>
  <c r="T12" i="40" s="1"/>
  <c r="Q12" i="40"/>
  <c r="AH12" i="40"/>
  <c r="AN12" i="40"/>
  <c r="AT12" i="40" s="1"/>
  <c r="AK18" i="40"/>
  <c r="S18" i="40" s="1"/>
  <c r="P18" i="40"/>
  <c r="BA8" i="40"/>
  <c r="BD8" i="40" s="1"/>
  <c r="AK12" i="40"/>
  <c r="S12" i="40" s="1"/>
  <c r="P12" i="40"/>
  <c r="AZ8" i="40"/>
  <c r="BC8" i="40" s="1"/>
  <c r="AO12" i="40"/>
  <c r="AU12" i="40" s="1"/>
  <c r="J12" i="40"/>
  <c r="AQ12" i="40"/>
  <c r="BA20" i="40"/>
  <c r="BD20" i="40" s="1"/>
  <c r="AZ7" i="40"/>
  <c r="BC7" i="40" s="1"/>
  <c r="BA13" i="40"/>
  <c r="BD13" i="40" s="1"/>
  <c r="BA17" i="40"/>
  <c r="BD17" i="40" s="1"/>
  <c r="AQ12" i="38"/>
  <c r="AI12" i="38"/>
  <c r="AO12" i="38" s="1"/>
  <c r="AU12" i="38" s="1"/>
  <c r="AO14" i="38"/>
  <c r="AU14" i="38" s="1"/>
  <c r="AI11" i="38"/>
  <c r="AO11" i="38" s="1"/>
  <c r="AU11" i="38" s="1"/>
  <c r="AI7" i="38"/>
  <c r="AO7" i="38" s="1"/>
  <c r="AU7" i="38" s="1"/>
  <c r="AH13" i="38"/>
  <c r="AN13" i="38" s="1"/>
  <c r="AT13" i="38" s="1"/>
  <c r="AH17" i="38"/>
  <c r="AN17" i="38" s="1"/>
  <c r="AT17" i="38" s="1"/>
  <c r="J8" i="38"/>
  <c r="AQ8" i="38"/>
  <c r="AI18" i="38"/>
  <c r="AO18" i="38" s="1"/>
  <c r="AU18" i="38" s="1"/>
  <c r="AH5" i="38"/>
  <c r="AN5" i="38" s="1"/>
  <c r="AT5" i="38" s="1"/>
  <c r="J9" i="36"/>
  <c r="AK15" i="36"/>
  <c r="S15" i="36" s="1"/>
  <c r="AH30" i="36"/>
  <c r="AN30" i="36" s="1"/>
  <c r="AT30" i="36" s="1"/>
  <c r="AG12" i="36"/>
  <c r="AM12" i="36" s="1"/>
  <c r="AS12" i="36" s="1"/>
  <c r="AH21" i="36"/>
  <c r="AN21" i="36" s="1"/>
  <c r="AT21" i="36" s="1"/>
  <c r="AN9" i="36"/>
  <c r="AT9" i="36" s="1"/>
  <c r="Q8" i="38"/>
  <c r="AL8" i="38"/>
  <c r="T8" i="38" s="1"/>
  <c r="P5" i="38"/>
  <c r="AK5" i="38"/>
  <c r="S5" i="38" s="1"/>
  <c r="J20" i="38"/>
  <c r="AQ20" i="38"/>
  <c r="K7" i="38"/>
  <c r="AR7" i="38"/>
  <c r="AH20" i="38"/>
  <c r="AN20" i="38" s="1"/>
  <c r="AT20" i="38" s="1"/>
  <c r="K11" i="38"/>
  <c r="AR11" i="38"/>
  <c r="P12" i="38"/>
  <c r="AK12" i="38"/>
  <c r="S12" i="38" s="1"/>
  <c r="P18" i="38"/>
  <c r="AK18" i="38"/>
  <c r="S18" i="38" s="1"/>
  <c r="P20" i="38"/>
  <c r="AK20" i="38"/>
  <c r="S20" i="38" s="1"/>
  <c r="AQ19" i="38"/>
  <c r="J19" i="38"/>
  <c r="K14" i="38"/>
  <c r="AR14" i="38"/>
  <c r="K17" i="38"/>
  <c r="BA17" i="38" s="1"/>
  <c r="BD17" i="38" s="1"/>
  <c r="AR17" i="38"/>
  <c r="AL7" i="38"/>
  <c r="T7" i="38" s="1"/>
  <c r="Q7" i="38"/>
  <c r="P17" i="38"/>
  <c r="AK17" i="38"/>
  <c r="S17" i="38" s="1"/>
  <c r="AH11" i="38"/>
  <c r="AN11" i="38" s="1"/>
  <c r="AT11" i="38" s="1"/>
  <c r="K19" i="38"/>
  <c r="AR19" i="38"/>
  <c r="P14" i="38"/>
  <c r="AK14" i="38"/>
  <c r="S14" i="38" s="1"/>
  <c r="P7" i="38"/>
  <c r="AK7" i="38"/>
  <c r="S7" i="38" s="1"/>
  <c r="AQ18" i="38"/>
  <c r="J18" i="38"/>
  <c r="AH18" i="38"/>
  <c r="AN18" i="38" s="1"/>
  <c r="AT18" i="38" s="1"/>
  <c r="J11" i="38"/>
  <c r="AQ11" i="38"/>
  <c r="AH19" i="38"/>
  <c r="AN19" i="38" s="1"/>
  <c r="AT19" i="38" s="1"/>
  <c r="AL11" i="38"/>
  <c r="T11" i="38" s="1"/>
  <c r="Q11" i="38"/>
  <c r="P19" i="38"/>
  <c r="AK19" i="38"/>
  <c r="S19" i="38" s="1"/>
  <c r="K18" i="38"/>
  <c r="AR18" i="38"/>
  <c r="P8" i="38"/>
  <c r="AK8" i="38"/>
  <c r="S8" i="38" s="1"/>
  <c r="AH14" i="38"/>
  <c r="AN14" i="38" s="1"/>
  <c r="AO20" i="38"/>
  <c r="AU20" i="38" s="1"/>
  <c r="P11" i="38"/>
  <c r="AK11" i="38"/>
  <c r="S11" i="38" s="1"/>
  <c r="K13" i="38"/>
  <c r="AR13" i="38"/>
  <c r="AL13" i="38"/>
  <c r="T13" i="38" s="1"/>
  <c r="Q13" i="38"/>
  <c r="AL20" i="38"/>
  <c r="T20" i="38" s="1"/>
  <c r="Q20" i="38"/>
  <c r="P13" i="38"/>
  <c r="AK13" i="38"/>
  <c r="S13" i="38" s="1"/>
  <c r="Q19" i="38"/>
  <c r="AL19" i="38"/>
  <c r="T19" i="38" s="1"/>
  <c r="K8" i="38"/>
  <c r="AR8" i="38"/>
  <c r="J13" i="38"/>
  <c r="AQ13" i="38"/>
  <c r="Q12" i="38"/>
  <c r="AL12" i="38"/>
  <c r="T12" i="38" s="1"/>
  <c r="AQ17" i="38"/>
  <c r="J17" i="38"/>
  <c r="Q14" i="38"/>
  <c r="AL14" i="38"/>
  <c r="T14" i="38" s="1"/>
  <c r="AL17" i="38"/>
  <c r="T17" i="38" s="1"/>
  <c r="Q17" i="38"/>
  <c r="AO13" i="38"/>
  <c r="AU13" i="38" s="1"/>
  <c r="AH12" i="38"/>
  <c r="AN12" i="38" s="1"/>
  <c r="K20" i="38"/>
  <c r="AR20" i="38"/>
  <c r="AX17" i="38"/>
  <c r="AH8" i="38"/>
  <c r="AN8" i="38" s="1"/>
  <c r="J7" i="38"/>
  <c r="AQ7" i="38"/>
  <c r="J5" i="38"/>
  <c r="AQ5" i="38"/>
  <c r="K12" i="38"/>
  <c r="AR12" i="38"/>
  <c r="AI8" i="38"/>
  <c r="AO8" i="38" s="1"/>
  <c r="AU8" i="38" s="1"/>
  <c r="Q18" i="38"/>
  <c r="AL18" i="38"/>
  <c r="T18" i="38" s="1"/>
  <c r="P6" i="38"/>
  <c r="AK6" i="38"/>
  <c r="S6" i="38" s="1"/>
  <c r="AH6" i="38"/>
  <c r="AN6" i="38" s="1"/>
  <c r="AN7" i="38"/>
  <c r="AT7" i="38" s="1"/>
  <c r="AG17" i="36"/>
  <c r="AM17" i="36" s="1"/>
  <c r="AS17" i="36" s="1"/>
  <c r="AG25" i="36"/>
  <c r="AM25" i="36" s="1"/>
  <c r="AS25" i="36" s="1"/>
  <c r="AG13" i="36"/>
  <c r="AM13" i="36" s="1"/>
  <c r="AS13" i="36" s="1"/>
  <c r="AH12" i="36"/>
  <c r="AN12" i="36" s="1"/>
  <c r="AT12" i="36" s="1"/>
  <c r="O13" i="36"/>
  <c r="AJ13" i="36"/>
  <c r="R13" i="36" s="1"/>
  <c r="AG9" i="36"/>
  <c r="AM9" i="36" s="1"/>
  <c r="AS9" i="36" s="1"/>
  <c r="AH29" i="37"/>
  <c r="AN29" i="37" s="1"/>
  <c r="AT29" i="37" s="1"/>
  <c r="AM32" i="37"/>
  <c r="AS32" i="37" s="1"/>
  <c r="AP28" i="37"/>
  <c r="O29" i="37"/>
  <c r="AJ29" i="37"/>
  <c r="R29" i="37" s="1"/>
  <c r="AJ32" i="37"/>
  <c r="R32" i="37" s="1"/>
  <c r="R28" i="37"/>
  <c r="AH25" i="37"/>
  <c r="J17" i="37"/>
  <c r="AN17" i="37"/>
  <c r="AT17" i="37" s="1"/>
  <c r="AH12" i="37"/>
  <c r="AH6" i="37"/>
  <c r="AN6" i="37" s="1"/>
  <c r="AT6" i="37" s="1"/>
  <c r="AH5" i="37"/>
  <c r="AG7" i="37"/>
  <c r="O8" i="37"/>
  <c r="AJ8" i="37"/>
  <c r="R8" i="37" s="1"/>
  <c r="AM7" i="37"/>
  <c r="AS7" i="37" s="1"/>
  <c r="AG6" i="37"/>
  <c r="AG22" i="37"/>
  <c r="AM22" i="37" s="1"/>
  <c r="AS22" i="37" s="1"/>
  <c r="AH9" i="37"/>
  <c r="AH28" i="37"/>
  <c r="AN28" i="37" s="1"/>
  <c r="AT28" i="37" s="1"/>
  <c r="I32" i="37"/>
  <c r="AY32" i="37" s="1"/>
  <c r="BB32" i="37" s="1"/>
  <c r="AP32" i="37"/>
  <c r="AG9" i="37"/>
  <c r="AM9" i="37" s="1"/>
  <c r="AS9" i="37" s="1"/>
  <c r="AJ30" i="37"/>
  <c r="R30" i="37" s="1"/>
  <c r="O17" i="37"/>
  <c r="R17" i="37"/>
  <c r="AG28" i="37"/>
  <c r="AM28" i="37" s="1"/>
  <c r="AS28" i="37" s="1"/>
  <c r="AW17" i="37"/>
  <c r="AG25" i="37"/>
  <c r="O25" i="37"/>
  <c r="O13" i="37"/>
  <c r="AJ13" i="37"/>
  <c r="R13" i="37" s="1"/>
  <c r="AN12" i="37"/>
  <c r="AT12" i="37" s="1"/>
  <c r="I5" i="37"/>
  <c r="R5" i="37"/>
  <c r="AP33" i="37"/>
  <c r="I33" i="37"/>
  <c r="J16" i="37"/>
  <c r="AQ16" i="37"/>
  <c r="P22" i="37"/>
  <c r="AK22" i="37"/>
  <c r="S22" i="37" s="1"/>
  <c r="P14" i="37"/>
  <c r="AK14" i="37"/>
  <c r="S14" i="37" s="1"/>
  <c r="AV12" i="37"/>
  <c r="AP9" i="37"/>
  <c r="I9" i="37"/>
  <c r="AV32" i="37"/>
  <c r="AQ13" i="37"/>
  <c r="J13" i="37"/>
  <c r="AD29" i="37"/>
  <c r="AG29" i="37"/>
  <c r="AM29" i="37" s="1"/>
  <c r="AS29" i="37" s="1"/>
  <c r="AY28" i="37"/>
  <c r="BB28" i="37" s="1"/>
  <c r="AY61" i="37"/>
  <c r="BB61" i="37" s="1"/>
  <c r="P13" i="37"/>
  <c r="AK13" i="37"/>
  <c r="S13" i="37" s="1"/>
  <c r="AP20" i="37"/>
  <c r="I20" i="37"/>
  <c r="AH22" i="37"/>
  <c r="AN22" i="37" s="1"/>
  <c r="AP29" i="37"/>
  <c r="I29" i="37"/>
  <c r="AW29" i="37"/>
  <c r="P8" i="37"/>
  <c r="AK8" i="37"/>
  <c r="S8" i="37" s="1"/>
  <c r="AW13" i="37"/>
  <c r="AN25" i="37"/>
  <c r="AT25" i="37" s="1"/>
  <c r="P23" i="37"/>
  <c r="AK23" i="37"/>
  <c r="S23" i="37" s="1"/>
  <c r="AQ21" i="37"/>
  <c r="J21" i="37"/>
  <c r="P6" i="37"/>
  <c r="AK6" i="37"/>
  <c r="S6" i="37" s="1"/>
  <c r="O20" i="37"/>
  <c r="AJ20" i="37"/>
  <c r="R20" i="37" s="1"/>
  <c r="AJ23" i="37"/>
  <c r="R23" i="37" s="1"/>
  <c r="O23" i="37"/>
  <c r="P7" i="37"/>
  <c r="AK7" i="37"/>
  <c r="S7" i="37" s="1"/>
  <c r="P25" i="37"/>
  <c r="AK25" i="37"/>
  <c r="S25" i="37" s="1"/>
  <c r="AW23" i="37"/>
  <c r="AH7" i="37"/>
  <c r="AN7" i="37" s="1"/>
  <c r="AT7" i="37" s="1"/>
  <c r="AM20" i="37"/>
  <c r="AS20" i="37" s="1"/>
  <c r="AV20" i="37"/>
  <c r="AN5" i="37"/>
  <c r="AT5" i="37" s="1"/>
  <c r="P28" i="37"/>
  <c r="AK28" i="37"/>
  <c r="S28" i="37" s="1"/>
  <c r="AP23" i="37"/>
  <c r="I23" i="37"/>
  <c r="AW7" i="37"/>
  <c r="P21" i="37"/>
  <c r="AK21" i="37"/>
  <c r="S21" i="37" s="1"/>
  <c r="AQ15" i="37"/>
  <c r="J15" i="37"/>
  <c r="I12" i="37"/>
  <c r="AP12" i="37"/>
  <c r="AJ6" i="37"/>
  <c r="R6" i="37" s="1"/>
  <c r="O6" i="37"/>
  <c r="P5" i="37"/>
  <c r="AK5" i="37"/>
  <c r="S5" i="37" s="1"/>
  <c r="I22" i="37"/>
  <c r="AP22" i="37"/>
  <c r="AG24" i="37"/>
  <c r="AM24" i="37" s="1"/>
  <c r="AS24" i="37" s="1"/>
  <c r="AQ23" i="37"/>
  <c r="J23" i="37"/>
  <c r="J30" i="37"/>
  <c r="AQ30" i="37"/>
  <c r="AW21" i="37"/>
  <c r="O12" i="37"/>
  <c r="AJ12" i="37"/>
  <c r="R12" i="37" s="1"/>
  <c r="AM6" i="37"/>
  <c r="AS6" i="37" s="1"/>
  <c r="AW5" i="37"/>
  <c r="AQ25" i="37"/>
  <c r="J25" i="37"/>
  <c r="P16" i="37"/>
  <c r="AK16" i="37"/>
  <c r="S16" i="37" s="1"/>
  <c r="I16" i="37"/>
  <c r="AP16" i="37"/>
  <c r="AH32" i="37"/>
  <c r="AN32" i="37" s="1"/>
  <c r="AN31" i="37"/>
  <c r="AT31" i="37" s="1"/>
  <c r="I7" i="37"/>
  <c r="AY7" i="37" s="1"/>
  <c r="BB7" i="37" s="1"/>
  <c r="AP7" i="37"/>
  <c r="P15" i="37"/>
  <c r="AK15" i="37"/>
  <c r="S15" i="37" s="1"/>
  <c r="AZ61" i="37"/>
  <c r="BC61" i="37" s="1"/>
  <c r="AH23" i="37"/>
  <c r="AN23" i="37" s="1"/>
  <c r="AT23" i="37" s="1"/>
  <c r="AP6" i="37"/>
  <c r="I6" i="37"/>
  <c r="AW25" i="37"/>
  <c r="P24" i="37"/>
  <c r="AK24" i="37"/>
  <c r="S24" i="37" s="1"/>
  <c r="AG17" i="37"/>
  <c r="AM17" i="37" s="1"/>
  <c r="AS17" i="37" s="1"/>
  <c r="AD17" i="37"/>
  <c r="AP25" i="37"/>
  <c r="I25" i="37"/>
  <c r="AM25" i="37"/>
  <c r="AS25" i="37" s="1"/>
  <c r="AG16" i="37"/>
  <c r="AM16" i="37" s="1"/>
  <c r="AS16" i="37" s="1"/>
  <c r="AN30" i="37"/>
  <c r="AT30" i="37" s="1"/>
  <c r="P20" i="37"/>
  <c r="AK20" i="37"/>
  <c r="S20" i="37" s="1"/>
  <c r="AP21" i="37"/>
  <c r="I21" i="37"/>
  <c r="J12" i="37"/>
  <c r="AQ12" i="37"/>
  <c r="AJ7" i="37"/>
  <c r="R7" i="37" s="1"/>
  <c r="O7" i="37"/>
  <c r="AW15" i="37"/>
  <c r="AP15" i="37"/>
  <c r="I15" i="37"/>
  <c r="AM33" i="37"/>
  <c r="AS33" i="37" s="1"/>
  <c r="AG8" i="37"/>
  <c r="AM8" i="37" s="1"/>
  <c r="AS8" i="37" s="1"/>
  <c r="J20" i="37"/>
  <c r="AQ20" i="37"/>
  <c r="P12" i="37"/>
  <c r="AK12" i="37"/>
  <c r="S12" i="37" s="1"/>
  <c r="AV9" i="37"/>
  <c r="AQ9" i="37"/>
  <c r="J9" i="37"/>
  <c r="AN9" i="37"/>
  <c r="AT9" i="37" s="1"/>
  <c r="P29" i="37"/>
  <c r="AK29" i="37"/>
  <c r="S29" i="37" s="1"/>
  <c r="I24" i="37"/>
  <c r="AP24" i="37"/>
  <c r="P31" i="37"/>
  <c r="AK31" i="37"/>
  <c r="S31" i="37" s="1"/>
  <c r="O21" i="37"/>
  <c r="AJ21" i="37"/>
  <c r="R21" i="37" s="1"/>
  <c r="P17" i="37"/>
  <c r="AK17" i="37"/>
  <c r="S17" i="37" s="1"/>
  <c r="AH24" i="37"/>
  <c r="AN24" i="37" s="1"/>
  <c r="O33" i="37"/>
  <c r="AJ33" i="37"/>
  <c r="R33" i="37" s="1"/>
  <c r="P32" i="37"/>
  <c r="AK32" i="37"/>
  <c r="S32" i="37" s="1"/>
  <c r="P30" i="37"/>
  <c r="AK30" i="37"/>
  <c r="S30" i="37" s="1"/>
  <c r="AV21" i="37"/>
  <c r="AW12" i="37"/>
  <c r="O9" i="37"/>
  <c r="AJ9" i="37"/>
  <c r="R9" i="37" s="1"/>
  <c r="J6" i="37"/>
  <c r="AQ6" i="37"/>
  <c r="P9" i="37"/>
  <c r="AK9" i="37"/>
  <c r="S9" i="37" s="1"/>
  <c r="AP12" i="36"/>
  <c r="I12" i="36"/>
  <c r="AG16" i="36"/>
  <c r="AM16" i="36" s="1"/>
  <c r="AS16" i="36" s="1"/>
  <c r="AZ61" i="36"/>
  <c r="BC61" i="36" s="1"/>
  <c r="AP21" i="36"/>
  <c r="I21" i="36"/>
  <c r="AP9" i="36"/>
  <c r="I9" i="36"/>
  <c r="J24" i="36"/>
  <c r="AQ24" i="36"/>
  <c r="O33" i="36"/>
  <c r="AJ33" i="36"/>
  <c r="R33" i="36" s="1"/>
  <c r="P30" i="36"/>
  <c r="AK30" i="36"/>
  <c r="S30" i="36" s="1"/>
  <c r="AG21" i="36"/>
  <c r="AM21" i="36" s="1"/>
  <c r="AS21" i="36" s="1"/>
  <c r="O6" i="36"/>
  <c r="AJ6" i="36"/>
  <c r="R6" i="36" s="1"/>
  <c r="AG22" i="36"/>
  <c r="AM22" i="36" s="1"/>
  <c r="AS22" i="36" s="1"/>
  <c r="AH6" i="36"/>
  <c r="AN6" i="36" s="1"/>
  <c r="AT6" i="36" s="1"/>
  <c r="AM33" i="36"/>
  <c r="AS33" i="36" s="1"/>
  <c r="AH24" i="36"/>
  <c r="AN24" i="36" s="1"/>
  <c r="AT24" i="36" s="1"/>
  <c r="AP6" i="36"/>
  <c r="I6" i="36"/>
  <c r="O20" i="36"/>
  <c r="AJ20" i="36"/>
  <c r="R20" i="36" s="1"/>
  <c r="S12" i="36"/>
  <c r="AP13" i="36"/>
  <c r="I13" i="36"/>
  <c r="O24" i="36"/>
  <c r="AJ24" i="36"/>
  <c r="R24" i="36" s="1"/>
  <c r="AQ6" i="36"/>
  <c r="J6" i="36"/>
  <c r="AV22" i="36"/>
  <c r="AP33" i="36"/>
  <c r="I33" i="36"/>
  <c r="AP22" i="36"/>
  <c r="I22" i="36"/>
  <c r="AP16" i="36"/>
  <c r="I16" i="36"/>
  <c r="BK61" i="36"/>
  <c r="BN61" i="36" s="1"/>
  <c r="AM61" i="36"/>
  <c r="AS61" i="36" s="1"/>
  <c r="AP29" i="36"/>
  <c r="I29" i="36"/>
  <c r="AP17" i="36"/>
  <c r="I17" i="36"/>
  <c r="AP7" i="36"/>
  <c r="I7" i="36"/>
  <c r="AQ12" i="36"/>
  <c r="J12" i="36"/>
  <c r="AP24" i="36"/>
  <c r="I24" i="36"/>
  <c r="O14" i="36"/>
  <c r="AJ14" i="36"/>
  <c r="R14" i="36" s="1"/>
  <c r="AG6" i="36"/>
  <c r="AM6" i="36" s="1"/>
  <c r="AS6" i="36" s="1"/>
  <c r="AG29" i="36"/>
  <c r="AM29" i="36" s="1"/>
  <c r="AS29" i="36" s="1"/>
  <c r="AG7" i="36"/>
  <c r="AM7" i="36" s="1"/>
  <c r="AS7" i="36" s="1"/>
  <c r="AG24" i="36"/>
  <c r="AM24" i="36" s="1"/>
  <c r="AS24" i="36" s="1"/>
  <c r="AV14" i="36"/>
  <c r="AP20" i="36"/>
  <c r="I20" i="36"/>
  <c r="AP25" i="36"/>
  <c r="I25" i="36"/>
  <c r="AP15" i="36"/>
  <c r="I15" i="36"/>
  <c r="J30" i="36"/>
  <c r="AZ30" i="36" s="1"/>
  <c r="BC30" i="36" s="1"/>
  <c r="AQ30" i="36"/>
  <c r="AP14" i="36"/>
  <c r="I14" i="36"/>
  <c r="AG20" i="36"/>
  <c r="AM20" i="36" s="1"/>
  <c r="AS20" i="36" s="1"/>
  <c r="O12" i="36"/>
  <c r="AJ12" i="36"/>
  <c r="R12" i="36" s="1"/>
  <c r="AP61" i="36"/>
  <c r="I61" i="36"/>
  <c r="AY61" i="36" s="1"/>
  <c r="BB61" i="36" s="1"/>
  <c r="AG15" i="36"/>
  <c r="AM15" i="36" s="1"/>
  <c r="AS15" i="36" s="1"/>
  <c r="O22" i="36"/>
  <c r="AJ22" i="36"/>
  <c r="R22" i="36" s="1"/>
  <c r="AG14" i="36"/>
  <c r="AM14" i="36" s="1"/>
  <c r="AS14" i="36" s="1"/>
  <c r="O16" i="36"/>
  <c r="AJ16" i="36"/>
  <c r="R16" i="36" s="1"/>
  <c r="AD32" i="35"/>
  <c r="AD48" i="35"/>
  <c r="AD16" i="35"/>
  <c r="AC34" i="35"/>
  <c r="AC18" i="35"/>
  <c r="AD36" i="35"/>
  <c r="AD28" i="35"/>
  <c r="BA8" i="35"/>
  <c r="AT8" i="35"/>
  <c r="AB49" i="35"/>
  <c r="AB25" i="35"/>
  <c r="AB41" i="35"/>
  <c r="AB33" i="35"/>
  <c r="AB17" i="35"/>
  <c r="AH18" i="35"/>
  <c r="AH26" i="35"/>
  <c r="AH34" i="35"/>
  <c r="AI31" i="35"/>
  <c r="AI23" i="35"/>
  <c r="AI15" i="35"/>
  <c r="AB35" i="35"/>
  <c r="AB19" i="35"/>
  <c r="AB27" i="35"/>
  <c r="AH15" i="35"/>
  <c r="AH23" i="35"/>
  <c r="AH31" i="35"/>
  <c r="AL17" i="35"/>
  <c r="AL25" i="35"/>
  <c r="AL33" i="35"/>
  <c r="X36" i="35"/>
  <c r="X20" i="35"/>
  <c r="X28" i="35"/>
  <c r="AN36" i="35"/>
  <c r="AN28" i="35"/>
  <c r="AN20" i="35"/>
  <c r="X34" i="35"/>
  <c r="X26" i="35"/>
  <c r="X18" i="35"/>
  <c r="AH35" i="35"/>
  <c r="AH27" i="35"/>
  <c r="AH19" i="35"/>
  <c r="AH36" i="35"/>
  <c r="AH20" i="35"/>
  <c r="AH28" i="35"/>
  <c r="AH33" i="35"/>
  <c r="AH25" i="35"/>
  <c r="AH17" i="35"/>
  <c r="AL24" i="35"/>
  <c r="AL32" i="35"/>
  <c r="AL16" i="35"/>
  <c r="AN35" i="35"/>
  <c r="AN27" i="35"/>
  <c r="AN19" i="35"/>
  <c r="X19" i="35"/>
  <c r="X27" i="35"/>
  <c r="X35" i="35"/>
  <c r="AB48" i="35"/>
  <c r="AB32" i="35"/>
  <c r="AB40" i="35"/>
  <c r="AB24" i="35"/>
  <c r="AB16" i="35"/>
  <c r="AM34" i="35"/>
  <c r="AM26" i="35"/>
  <c r="AM18" i="35"/>
  <c r="AE18" i="35"/>
  <c r="AE26" i="35"/>
  <c r="AE34" i="35"/>
  <c r="AN32" i="35"/>
  <c r="AN16" i="35"/>
  <c r="AN24" i="35"/>
  <c r="AG24" i="35"/>
  <c r="AG32" i="35"/>
  <c r="AG16" i="35"/>
  <c r="Y47" i="35"/>
  <c r="Y39" i="35"/>
  <c r="Y31" i="35"/>
  <c r="Y23" i="35"/>
  <c r="Y15" i="35"/>
  <c r="Y48" i="35"/>
  <c r="Y32" i="35"/>
  <c r="Y24" i="35"/>
  <c r="Y40" i="35"/>
  <c r="Y16" i="35"/>
  <c r="AM28" i="34"/>
  <c r="AE23" i="34"/>
  <c r="AE15" i="34"/>
  <c r="AM27" i="34"/>
  <c r="AM35" i="34"/>
  <c r="AB16" i="34"/>
  <c r="AL32" i="34"/>
  <c r="AB40" i="34"/>
  <c r="AB32" i="34"/>
  <c r="AB48" i="34"/>
  <c r="AL16" i="34"/>
  <c r="AL27" i="34"/>
  <c r="AL35" i="34"/>
  <c r="AM20" i="34"/>
  <c r="AC20" i="34"/>
  <c r="AC36" i="34"/>
  <c r="AC28" i="34"/>
  <c r="Z32" i="34"/>
  <c r="Z16" i="34"/>
  <c r="AJ24" i="34"/>
  <c r="AJ16" i="34"/>
  <c r="Z33" i="34"/>
  <c r="AC27" i="34"/>
  <c r="AC35" i="34"/>
  <c r="AD26" i="34"/>
  <c r="AD18" i="34"/>
  <c r="AD34" i="34"/>
  <c r="AB15" i="34"/>
  <c r="AB31" i="34"/>
  <c r="AB39" i="34"/>
  <c r="AB47" i="34"/>
  <c r="Z25" i="34"/>
  <c r="AL23" i="34"/>
  <c r="AL31" i="34"/>
  <c r="AL15" i="34"/>
  <c r="AD49" i="34"/>
  <c r="AD17" i="34"/>
  <c r="AD33" i="34"/>
  <c r="AD25" i="34"/>
  <c r="AD41" i="34"/>
  <c r="Z31" i="34"/>
  <c r="Z23" i="34"/>
  <c r="Z15" i="34"/>
  <c r="Y16" i="34"/>
  <c r="Y32" i="34"/>
  <c r="Y48" i="34"/>
  <c r="Y24" i="34"/>
  <c r="Y40" i="34"/>
  <c r="AD48" i="34"/>
  <c r="AD32" i="34"/>
  <c r="AD16" i="34"/>
  <c r="AD24" i="34"/>
  <c r="AD40" i="34"/>
  <c r="AM26" i="34"/>
  <c r="AM34" i="34"/>
  <c r="AM18" i="34"/>
  <c r="AO34" i="34"/>
  <c r="AO26" i="34"/>
  <c r="AO18" i="34"/>
  <c r="X28" i="34"/>
  <c r="X20" i="34"/>
  <c r="X36" i="34"/>
  <c r="Y34" i="34"/>
  <c r="Y26" i="34"/>
  <c r="Y18" i="34"/>
  <c r="AM25" i="34"/>
  <c r="AM17" i="34"/>
  <c r="AM33" i="34"/>
  <c r="AJ33" i="34"/>
  <c r="AJ25" i="34"/>
  <c r="AJ17" i="34"/>
  <c r="AB27" i="34"/>
  <c r="AB19" i="34"/>
  <c r="AB35" i="34"/>
  <c r="AD35" i="34"/>
  <c r="AD19" i="34"/>
  <c r="AD27" i="34"/>
  <c r="AJ35" i="34"/>
  <c r="AJ27" i="34"/>
  <c r="AJ19" i="34"/>
  <c r="W23" i="34"/>
  <c r="W39" i="34"/>
  <c r="W31" i="34"/>
  <c r="W15" i="34"/>
  <c r="W47" i="34"/>
  <c r="AM23" i="34"/>
  <c r="AM31" i="34"/>
  <c r="AM15" i="34"/>
  <c r="AO19" i="34"/>
  <c r="AO27" i="34"/>
  <c r="AO35" i="34"/>
  <c r="X19" i="34"/>
  <c r="X27" i="34"/>
  <c r="X35" i="34"/>
  <c r="W19" i="34"/>
  <c r="W27" i="34"/>
  <c r="W35" i="34"/>
  <c r="AH24" i="34"/>
  <c r="AH32" i="34"/>
  <c r="AH16" i="34"/>
  <c r="AN36" i="34"/>
  <c r="AN20" i="34"/>
  <c r="AN28" i="34"/>
  <c r="Y28" i="34"/>
  <c r="Y20" i="34"/>
  <c r="Y36" i="34"/>
  <c r="AE35" i="34"/>
  <c r="AE27" i="34"/>
  <c r="AE19" i="34"/>
  <c r="AH34" i="34"/>
  <c r="AH18" i="34"/>
  <c r="AH26" i="34"/>
  <c r="AC49" i="34"/>
  <c r="AC25" i="34"/>
  <c r="AC17" i="34"/>
  <c r="AC41" i="34"/>
  <c r="AC33" i="34"/>
  <c r="Z19" i="34"/>
  <c r="Z35" i="34"/>
  <c r="Z27" i="34"/>
  <c r="AH25" i="34"/>
  <c r="AH17" i="34"/>
  <c r="AH33" i="34"/>
  <c r="Y31" i="34"/>
  <c r="Y39" i="34"/>
  <c r="Y47" i="34"/>
  <c r="Y23" i="34"/>
  <c r="Y15" i="34"/>
  <c r="AD20" i="34"/>
  <c r="AD28" i="34"/>
  <c r="AD36" i="34"/>
  <c r="AN34" i="34"/>
  <c r="AN26" i="34"/>
  <c r="AN18" i="34"/>
  <c r="AI35" i="34"/>
  <c r="AI27" i="34"/>
  <c r="AI19" i="34"/>
  <c r="AC24" i="34"/>
  <c r="AC48" i="34"/>
  <c r="AC16" i="34"/>
  <c r="AC32" i="34"/>
  <c r="AC40" i="34"/>
  <c r="AO16" i="34"/>
  <c r="AO24" i="34"/>
  <c r="AO32" i="34"/>
  <c r="AO33" i="34"/>
  <c r="AO25" i="34"/>
  <c r="AO17" i="34"/>
  <c r="Z20" i="34"/>
  <c r="Z36" i="34"/>
  <c r="Z28" i="34"/>
  <c r="AD47" i="34"/>
  <c r="AD39" i="34"/>
  <c r="AD31" i="34"/>
  <c r="AD15" i="34"/>
  <c r="AD23" i="34"/>
  <c r="AI33" i="34"/>
  <c r="AI25" i="34"/>
  <c r="AI17" i="34"/>
  <c r="Z34" i="34"/>
  <c r="Z26" i="34"/>
  <c r="Z18" i="34"/>
  <c r="AN31" i="34"/>
  <c r="AN15" i="34"/>
  <c r="AN23" i="34"/>
  <c r="AE17" i="34"/>
  <c r="AE33" i="34"/>
  <c r="AE25" i="34"/>
  <c r="E5" i="29"/>
  <c r="E20" i="33"/>
  <c r="E19" i="33"/>
  <c r="E17" i="33"/>
  <c r="E14" i="33"/>
  <c r="E13" i="33"/>
  <c r="E11" i="33"/>
  <c r="E8" i="33"/>
  <c r="E7" i="33"/>
  <c r="E5" i="33"/>
  <c r="D20" i="33"/>
  <c r="D19" i="33"/>
  <c r="D17" i="33"/>
  <c r="D14" i="33"/>
  <c r="D13" i="33"/>
  <c r="D11" i="33"/>
  <c r="D8" i="33"/>
  <c r="D7" i="33"/>
  <c r="D5" i="33"/>
  <c r="E18" i="31"/>
  <c r="D18" i="31"/>
  <c r="E12" i="31"/>
  <c r="D12" i="31"/>
  <c r="E6" i="31"/>
  <c r="D6" i="31"/>
  <c r="E20" i="25"/>
  <c r="E19" i="25"/>
  <c r="E18" i="25"/>
  <c r="E17" i="25"/>
  <c r="E14" i="25"/>
  <c r="E13" i="25"/>
  <c r="E12" i="25"/>
  <c r="E11" i="25"/>
  <c r="E7" i="25"/>
  <c r="E8" i="25"/>
  <c r="E5" i="25"/>
  <c r="D20" i="25"/>
  <c r="D19" i="25"/>
  <c r="D18" i="25"/>
  <c r="D17" i="25"/>
  <c r="D14" i="25"/>
  <c r="D13" i="25"/>
  <c r="D12" i="25"/>
  <c r="D11" i="25"/>
  <c r="D6" i="25"/>
  <c r="D7" i="25"/>
  <c r="D8" i="25"/>
  <c r="D5" i="25"/>
  <c r="E39" i="25"/>
  <c r="D39" i="25"/>
  <c r="E18" i="24"/>
  <c r="D18" i="24"/>
  <c r="E12" i="24"/>
  <c r="D12" i="24"/>
  <c r="E6" i="24"/>
  <c r="D6" i="24"/>
  <c r="BA19" i="38" l="1"/>
  <c r="BD19" i="38" s="1"/>
  <c r="AU19" i="38"/>
  <c r="F20" i="35"/>
  <c r="Z12" i="35"/>
  <c r="AJ12" i="35"/>
  <c r="F28" i="35"/>
  <c r="F36" i="35"/>
  <c r="AO34" i="35"/>
  <c r="AO26" i="35"/>
  <c r="AO18" i="35"/>
  <c r="P18" i="34"/>
  <c r="P26" i="34"/>
  <c r="P34" i="34"/>
  <c r="K17" i="35"/>
  <c r="AO9" i="35"/>
  <c r="AE9" i="35"/>
  <c r="K25" i="35"/>
  <c r="K33" i="35"/>
  <c r="AJ8" i="35"/>
  <c r="Z8" i="35"/>
  <c r="F32" i="35"/>
  <c r="F16" i="35"/>
  <c r="F24" i="35"/>
  <c r="Y36" i="35"/>
  <c r="Y28" i="35"/>
  <c r="Y20" i="35"/>
  <c r="AI20" i="35"/>
  <c r="AI28" i="35"/>
  <c r="AI36" i="35"/>
  <c r="AD27" i="35"/>
  <c r="AD35" i="35"/>
  <c r="AD19" i="35"/>
  <c r="E27" i="35"/>
  <c r="AI11" i="35"/>
  <c r="Y11" i="35"/>
  <c r="E19" i="35"/>
  <c r="E35" i="35"/>
  <c r="O35" i="34"/>
  <c r="O19" i="34"/>
  <c r="O27" i="34"/>
  <c r="Y41" i="35"/>
  <c r="Y17" i="35"/>
  <c r="Y49" i="35"/>
  <c r="Y25" i="35"/>
  <c r="Y33" i="35"/>
  <c r="AI17" i="35"/>
  <c r="AI25" i="35"/>
  <c r="AI33" i="35"/>
  <c r="AI32" i="35"/>
  <c r="AI16" i="35"/>
  <c r="AI24" i="35"/>
  <c r="N19" i="34"/>
  <c r="N35" i="34"/>
  <c r="N27" i="34"/>
  <c r="X25" i="35"/>
  <c r="X17" i="35"/>
  <c r="X33" i="35"/>
  <c r="X41" i="35"/>
  <c r="X49" i="35"/>
  <c r="N25" i="34"/>
  <c r="N33" i="34"/>
  <c r="N17" i="34"/>
  <c r="N41" i="34"/>
  <c r="N49" i="34"/>
  <c r="I24" i="35"/>
  <c r="AM8" i="35"/>
  <c r="I40" i="35"/>
  <c r="AM40" i="35" s="1"/>
  <c r="I16" i="35"/>
  <c r="AC8" i="35"/>
  <c r="I48" i="35"/>
  <c r="AM48" i="35" s="1"/>
  <c r="I32" i="35"/>
  <c r="D40" i="35"/>
  <c r="AH40" i="35" s="1"/>
  <c r="D24" i="35"/>
  <c r="D32" i="35"/>
  <c r="X8" i="35"/>
  <c r="D48" i="35"/>
  <c r="AH48" i="35" s="1"/>
  <c r="D16" i="35"/>
  <c r="AH8" i="35"/>
  <c r="AC7" i="35"/>
  <c r="AM7" i="35"/>
  <c r="I47" i="35"/>
  <c r="AM47" i="35" s="1"/>
  <c r="I31" i="35"/>
  <c r="I23" i="35"/>
  <c r="I39" i="35"/>
  <c r="AM39" i="35" s="1"/>
  <c r="I15" i="35"/>
  <c r="S23" i="35"/>
  <c r="S39" i="35"/>
  <c r="S15" i="35"/>
  <c r="S47" i="35"/>
  <c r="S31" i="35"/>
  <c r="AB33" i="34"/>
  <c r="AB17" i="34"/>
  <c r="AB25" i="34"/>
  <c r="AB49" i="34"/>
  <c r="AB41" i="34"/>
  <c r="AL25" i="34"/>
  <c r="AL17" i="34"/>
  <c r="AL33" i="34"/>
  <c r="C19" i="35"/>
  <c r="AG11" i="35"/>
  <c r="W11" i="35"/>
  <c r="C35" i="35"/>
  <c r="C27" i="35"/>
  <c r="W24" i="35"/>
  <c r="W16" i="35"/>
  <c r="W32" i="35"/>
  <c r="W48" i="35"/>
  <c r="W40" i="35"/>
  <c r="W25" i="35"/>
  <c r="W33" i="35"/>
  <c r="W49" i="35"/>
  <c r="W17" i="35"/>
  <c r="W41" i="35"/>
  <c r="AG17" i="35"/>
  <c r="AG25" i="35"/>
  <c r="AG33" i="35"/>
  <c r="AC34" i="34"/>
  <c r="AC26" i="34"/>
  <c r="AC18" i="34"/>
  <c r="X32" i="34"/>
  <c r="X24" i="34"/>
  <c r="AL26" i="34"/>
  <c r="AL34" i="34"/>
  <c r="AL18" i="34"/>
  <c r="W24" i="34"/>
  <c r="W32" i="34"/>
  <c r="J32" i="36"/>
  <c r="AQ32" i="36"/>
  <c r="AO11" i="35"/>
  <c r="K35" i="35"/>
  <c r="K19" i="35"/>
  <c r="K27" i="35"/>
  <c r="AE11" i="35"/>
  <c r="P11" i="35"/>
  <c r="AJ32" i="36"/>
  <c r="R32" i="36" s="1"/>
  <c r="O32" i="36"/>
  <c r="F35" i="35"/>
  <c r="Z11" i="35"/>
  <c r="F19" i="35"/>
  <c r="F27" i="35"/>
  <c r="AJ11" i="35"/>
  <c r="U34" i="35"/>
  <c r="U26" i="35"/>
  <c r="U18" i="35"/>
  <c r="O31" i="36"/>
  <c r="AJ31" i="36"/>
  <c r="R31" i="36" s="1"/>
  <c r="P10" i="35"/>
  <c r="F34" i="35"/>
  <c r="AJ10" i="35"/>
  <c r="F26" i="35"/>
  <c r="F18" i="35"/>
  <c r="Z10" i="35"/>
  <c r="P9" i="35"/>
  <c r="O30" i="36"/>
  <c r="F33" i="35"/>
  <c r="F17" i="35"/>
  <c r="AJ9" i="35"/>
  <c r="Z9" i="35"/>
  <c r="F25" i="35"/>
  <c r="AK29" i="36"/>
  <c r="S29" i="36" s="1"/>
  <c r="U8" i="35"/>
  <c r="P29" i="36"/>
  <c r="AO8" i="35"/>
  <c r="K32" i="35"/>
  <c r="AE8" i="35"/>
  <c r="K24" i="35"/>
  <c r="K16" i="35"/>
  <c r="U7" i="35"/>
  <c r="P28" i="36"/>
  <c r="K23" i="35"/>
  <c r="K31" i="35"/>
  <c r="AO7" i="35"/>
  <c r="K15" i="35"/>
  <c r="AE7" i="35"/>
  <c r="P23" i="34"/>
  <c r="P15" i="34"/>
  <c r="P31" i="34"/>
  <c r="F31" i="35"/>
  <c r="AJ7" i="35"/>
  <c r="F23" i="35"/>
  <c r="Z7" i="35"/>
  <c r="F15" i="35"/>
  <c r="O28" i="35"/>
  <c r="O36" i="35"/>
  <c r="O20" i="35"/>
  <c r="T19" i="35"/>
  <c r="T27" i="35"/>
  <c r="T35" i="35"/>
  <c r="J26" i="35"/>
  <c r="AD10" i="35"/>
  <c r="J34" i="35"/>
  <c r="AN10" i="35"/>
  <c r="J18" i="35"/>
  <c r="AI10" i="35"/>
  <c r="Y10" i="35"/>
  <c r="E34" i="35"/>
  <c r="E18" i="35"/>
  <c r="E26" i="35"/>
  <c r="AN9" i="35"/>
  <c r="J41" i="35"/>
  <c r="AN41" i="35" s="1"/>
  <c r="AD9" i="35"/>
  <c r="J17" i="35"/>
  <c r="J25" i="35"/>
  <c r="J49" i="35"/>
  <c r="AN49" i="35" s="1"/>
  <c r="J33" i="35"/>
  <c r="T24" i="35"/>
  <c r="T16" i="35"/>
  <c r="T48" i="35"/>
  <c r="T40" i="35"/>
  <c r="T32" i="35"/>
  <c r="O40" i="35"/>
  <c r="O32" i="35"/>
  <c r="O24" i="35"/>
  <c r="O48" i="35"/>
  <c r="O16" i="35"/>
  <c r="AD7" i="35"/>
  <c r="J31" i="35"/>
  <c r="J23" i="35"/>
  <c r="J47" i="35"/>
  <c r="AN47" i="35" s="1"/>
  <c r="AN7" i="35"/>
  <c r="J39" i="35"/>
  <c r="AN39" i="35" s="1"/>
  <c r="J15" i="35"/>
  <c r="T7" i="35"/>
  <c r="P20" i="36"/>
  <c r="I27" i="35"/>
  <c r="I35" i="35"/>
  <c r="AC11" i="35"/>
  <c r="I19" i="35"/>
  <c r="AM11" i="35"/>
  <c r="N26" i="35"/>
  <c r="N18" i="35"/>
  <c r="N34" i="35"/>
  <c r="I33" i="35"/>
  <c r="I41" i="35"/>
  <c r="AM41" i="35" s="1"/>
  <c r="AM9" i="35"/>
  <c r="I25" i="35"/>
  <c r="AC9" i="35"/>
  <c r="I49" i="35"/>
  <c r="AM49" i="35" s="1"/>
  <c r="I17" i="35"/>
  <c r="R32" i="35"/>
  <c r="R48" i="35"/>
  <c r="R24" i="35"/>
  <c r="R40" i="35"/>
  <c r="R16" i="35"/>
  <c r="R17" i="35"/>
  <c r="R25" i="35"/>
  <c r="R41" i="35"/>
  <c r="R49" i="35"/>
  <c r="R33" i="35"/>
  <c r="H18" i="35"/>
  <c r="H34" i="35"/>
  <c r="AL10" i="35"/>
  <c r="AB10" i="35"/>
  <c r="H26" i="35"/>
  <c r="R27" i="35"/>
  <c r="R35" i="35"/>
  <c r="R19" i="35"/>
  <c r="M49" i="35"/>
  <c r="M25" i="35"/>
  <c r="M41" i="35"/>
  <c r="M17" i="35"/>
  <c r="M33" i="35"/>
  <c r="W10" i="35"/>
  <c r="C18" i="35"/>
  <c r="C34" i="35"/>
  <c r="C26" i="35"/>
  <c r="AG10" i="35"/>
  <c r="C15" i="35"/>
  <c r="C39" i="35"/>
  <c r="AG39" i="35" s="1"/>
  <c r="W7" i="35"/>
  <c r="C31" i="35"/>
  <c r="C23" i="35"/>
  <c r="AG7" i="35"/>
  <c r="C47" i="35"/>
  <c r="AG47" i="35" s="1"/>
  <c r="P16" i="35"/>
  <c r="P24" i="35"/>
  <c r="P32" i="35"/>
  <c r="N36" i="35"/>
  <c r="N28" i="35"/>
  <c r="N20" i="35"/>
  <c r="T20" i="35"/>
  <c r="T28" i="35"/>
  <c r="T36" i="35"/>
  <c r="S32" i="35"/>
  <c r="S24" i="35"/>
  <c r="S40" i="35"/>
  <c r="S48" i="35"/>
  <c r="S16" i="35"/>
  <c r="S26" i="35"/>
  <c r="S18" i="35"/>
  <c r="S34" i="35"/>
  <c r="P35" i="34"/>
  <c r="P19" i="34"/>
  <c r="P27" i="34"/>
  <c r="P33" i="34"/>
  <c r="P25" i="34"/>
  <c r="P17" i="34"/>
  <c r="O28" i="34"/>
  <c r="O20" i="34"/>
  <c r="O36" i="34"/>
  <c r="M23" i="34"/>
  <c r="M15" i="34"/>
  <c r="M31" i="34"/>
  <c r="M47" i="34"/>
  <c r="M39" i="34"/>
  <c r="BA7" i="35"/>
  <c r="AT7" i="35"/>
  <c r="AH14" i="36"/>
  <c r="AT8" i="37"/>
  <c r="AZ8" i="37"/>
  <c r="BC8" i="37" s="1"/>
  <c r="AS13" i="37"/>
  <c r="AY13" i="37"/>
  <c r="BB13" i="37" s="1"/>
  <c r="AY15" i="37"/>
  <c r="BB15" i="37" s="1"/>
  <c r="AS15" i="37"/>
  <c r="AS14" i="37"/>
  <c r="AY14" i="37"/>
  <c r="BB14" i="37" s="1"/>
  <c r="AI20" i="34"/>
  <c r="AI36" i="34"/>
  <c r="AI28" i="34"/>
  <c r="Y19" i="34"/>
  <c r="Y27" i="34"/>
  <c r="Y35" i="34"/>
  <c r="AN17" i="34"/>
  <c r="AN25" i="34"/>
  <c r="AN33" i="34"/>
  <c r="Y25" i="34"/>
  <c r="Y41" i="34"/>
  <c r="Y49" i="34"/>
  <c r="Y33" i="34"/>
  <c r="Y17" i="34"/>
  <c r="AN24" i="34"/>
  <c r="AN32" i="34"/>
  <c r="AN16" i="34"/>
  <c r="AI16" i="34"/>
  <c r="AI32" i="34"/>
  <c r="AI24" i="34"/>
  <c r="X26" i="34"/>
  <c r="X34" i="34"/>
  <c r="X18" i="34"/>
  <c r="X17" i="34"/>
  <c r="X25" i="34"/>
  <c r="X41" i="34"/>
  <c r="X33" i="34"/>
  <c r="X49" i="34"/>
  <c r="AM24" i="34"/>
  <c r="AM16" i="34"/>
  <c r="AM32" i="34"/>
  <c r="AC47" i="34"/>
  <c r="AC39" i="34"/>
  <c r="AC15" i="34"/>
  <c r="AC23" i="34"/>
  <c r="AC31" i="34"/>
  <c r="BA8" i="34"/>
  <c r="AT8" i="34"/>
  <c r="X47" i="34"/>
  <c r="X31" i="34"/>
  <c r="X39" i="34"/>
  <c r="X15" i="34"/>
  <c r="X23" i="34"/>
  <c r="AH23" i="34"/>
  <c r="AH15" i="34"/>
  <c r="AH31" i="34"/>
  <c r="AB34" i="34"/>
  <c r="AB26" i="34"/>
  <c r="AB18" i="34"/>
  <c r="AG24" i="34"/>
  <c r="AG32" i="34"/>
  <c r="AG16" i="34"/>
  <c r="W49" i="34"/>
  <c r="W17" i="34"/>
  <c r="W41" i="34"/>
  <c r="W33" i="34"/>
  <c r="W25" i="34"/>
  <c r="AG25" i="34"/>
  <c r="AG17" i="34"/>
  <c r="AG33" i="34"/>
  <c r="AG18" i="34"/>
  <c r="AG34" i="34"/>
  <c r="AG26" i="34"/>
  <c r="W26" i="34"/>
  <c r="W18" i="34"/>
  <c r="W34" i="34"/>
  <c r="AP32" i="36"/>
  <c r="I32" i="36"/>
  <c r="AM32" i="36"/>
  <c r="AS32" i="36" s="1"/>
  <c r="AV32" i="36"/>
  <c r="I31" i="36"/>
  <c r="AP31" i="36"/>
  <c r="AP30" i="36"/>
  <c r="I30" i="36"/>
  <c r="AY30" i="36" s="1"/>
  <c r="BB30" i="36" s="1"/>
  <c r="AE28" i="36"/>
  <c r="AH28" i="36"/>
  <c r="AN28" i="36" s="1"/>
  <c r="AT28" i="36" s="1"/>
  <c r="AQ28" i="36"/>
  <c r="J28" i="36"/>
  <c r="I28" i="36"/>
  <c r="AP28" i="36"/>
  <c r="P7" i="35"/>
  <c r="AJ28" i="36"/>
  <c r="R28" i="36" s="1"/>
  <c r="O28" i="36"/>
  <c r="AP23" i="36"/>
  <c r="I23" i="36"/>
  <c r="J22" i="36"/>
  <c r="AQ22" i="36"/>
  <c r="AE20" i="36"/>
  <c r="AH20" i="36"/>
  <c r="AN20" i="36" s="1"/>
  <c r="AT20" i="36" s="1"/>
  <c r="AQ20" i="36"/>
  <c r="J20" i="36"/>
  <c r="AQ16" i="36"/>
  <c r="J16" i="36"/>
  <c r="AQ14" i="36"/>
  <c r="J14" i="36"/>
  <c r="AQ8" i="36"/>
  <c r="J8" i="36"/>
  <c r="AB47" i="35"/>
  <c r="AB31" i="35"/>
  <c r="AB39" i="35"/>
  <c r="AB15" i="35"/>
  <c r="AB23" i="35"/>
  <c r="AL15" i="35"/>
  <c r="AL31" i="35"/>
  <c r="AL23" i="35"/>
  <c r="I8" i="36"/>
  <c r="AP8" i="36"/>
  <c r="M10" i="35"/>
  <c r="AJ8" i="36"/>
  <c r="R8" i="36" s="1"/>
  <c r="O8" i="36"/>
  <c r="AP5" i="36"/>
  <c r="I5" i="36"/>
  <c r="M7" i="35"/>
  <c r="AJ5" i="36"/>
  <c r="R5" i="36" s="1"/>
  <c r="O5" i="36"/>
  <c r="BA7" i="34"/>
  <c r="AT7" i="34"/>
  <c r="U19" i="35"/>
  <c r="U27" i="35"/>
  <c r="U35" i="35"/>
  <c r="T34" i="35"/>
  <c r="T18" i="35"/>
  <c r="T26" i="35"/>
  <c r="O34" i="35"/>
  <c r="O18" i="35"/>
  <c r="O26" i="35"/>
  <c r="T41" i="35"/>
  <c r="T17" i="35"/>
  <c r="T49" i="35"/>
  <c r="T25" i="35"/>
  <c r="T33" i="35"/>
  <c r="S33" i="35"/>
  <c r="S25" i="35"/>
  <c r="S41" i="35"/>
  <c r="S49" i="35"/>
  <c r="S17" i="35"/>
  <c r="AW14" i="36"/>
  <c r="AN14" i="36"/>
  <c r="AT14" i="36" s="1"/>
  <c r="R18" i="35"/>
  <c r="R34" i="35"/>
  <c r="R26" i="35"/>
  <c r="AT7" i="36"/>
  <c r="AZ7" i="36"/>
  <c r="BC7" i="36" s="1"/>
  <c r="AQ29" i="36"/>
  <c r="J29" i="36"/>
  <c r="AZ29" i="36" s="1"/>
  <c r="BC29" i="36" s="1"/>
  <c r="S27" i="35"/>
  <c r="S19" i="35"/>
  <c r="S35" i="35"/>
  <c r="AQ5" i="36"/>
  <c r="J5" i="36"/>
  <c r="P5" i="36"/>
  <c r="AK5" i="36"/>
  <c r="S5" i="36" s="1"/>
  <c r="R7" i="35"/>
  <c r="AW5" i="36"/>
  <c r="AN5" i="36"/>
  <c r="AT5" i="36" s="1"/>
  <c r="BA8" i="42"/>
  <c r="BD8" i="42" s="1"/>
  <c r="AU8" i="42"/>
  <c r="AZ6" i="42"/>
  <c r="BC6" i="42" s="1"/>
  <c r="AH32" i="36"/>
  <c r="AN32" i="36" s="1"/>
  <c r="AE32" i="36"/>
  <c r="AK32" i="36"/>
  <c r="S32" i="36" s="1"/>
  <c r="P32" i="36"/>
  <c r="AK23" i="36"/>
  <c r="S23" i="36" s="1"/>
  <c r="P23" i="36"/>
  <c r="J23" i="36"/>
  <c r="AQ23" i="36"/>
  <c r="AJ23" i="36"/>
  <c r="R23" i="36" s="1"/>
  <c r="O23" i="36"/>
  <c r="AK22" i="36"/>
  <c r="S22" i="36" s="1"/>
  <c r="P22" i="36"/>
  <c r="AK14" i="36"/>
  <c r="S14" i="36" s="1"/>
  <c r="P14" i="36"/>
  <c r="P8" i="36"/>
  <c r="AK8" i="36"/>
  <c r="S8" i="36" s="1"/>
  <c r="AK16" i="36"/>
  <c r="S16" i="36" s="1"/>
  <c r="P16" i="36"/>
  <c r="AZ15" i="37"/>
  <c r="BC15" i="37" s="1"/>
  <c r="E5" i="38"/>
  <c r="E5" i="30"/>
  <c r="E6" i="30" s="1"/>
  <c r="E6" i="25"/>
  <c r="E6" i="29"/>
  <c r="E6" i="38" s="1"/>
  <c r="AZ12" i="42"/>
  <c r="BC12" i="42" s="1"/>
  <c r="AZ18" i="42"/>
  <c r="BC18" i="42" s="1"/>
  <c r="BA12" i="42"/>
  <c r="BD12" i="42" s="1"/>
  <c r="AZ6" i="41"/>
  <c r="BC6" i="41" s="1"/>
  <c r="AZ25" i="36"/>
  <c r="BC25" i="36" s="1"/>
  <c r="AH17" i="36"/>
  <c r="AZ23" i="36"/>
  <c r="BC23" i="36" s="1"/>
  <c r="AZ13" i="36"/>
  <c r="BC13" i="36" s="1"/>
  <c r="AZ5" i="36"/>
  <c r="BC5" i="36" s="1"/>
  <c r="AZ17" i="37"/>
  <c r="BC17" i="37" s="1"/>
  <c r="AQ17" i="36"/>
  <c r="J17" i="36"/>
  <c r="P17" i="36"/>
  <c r="AK17" i="36"/>
  <c r="S17" i="36" s="1"/>
  <c r="AN17" i="36"/>
  <c r="AT17" i="36" s="1"/>
  <c r="BA12" i="40"/>
  <c r="BD12" i="40" s="1"/>
  <c r="AZ12" i="40"/>
  <c r="BC12" i="40" s="1"/>
  <c r="AZ18" i="40"/>
  <c r="BC18" i="40" s="1"/>
  <c r="BA11" i="38"/>
  <c r="BD11" i="38" s="1"/>
  <c r="BA14" i="38"/>
  <c r="BD14" i="38" s="1"/>
  <c r="AZ19" i="38"/>
  <c r="BC19" i="38" s="1"/>
  <c r="AZ17" i="38"/>
  <c r="BC17" i="38" s="1"/>
  <c r="BA20" i="38"/>
  <c r="BD20" i="38" s="1"/>
  <c r="BA18" i="38"/>
  <c r="BD18" i="38" s="1"/>
  <c r="BA12" i="38"/>
  <c r="BD12" i="38" s="1"/>
  <c r="AZ13" i="38"/>
  <c r="BC13" i="38" s="1"/>
  <c r="AY13" i="36"/>
  <c r="BB13" i="36" s="1"/>
  <c r="AZ9" i="36"/>
  <c r="BC9" i="36" s="1"/>
  <c r="AZ6" i="36"/>
  <c r="BC6" i="36" s="1"/>
  <c r="AZ21" i="36"/>
  <c r="BC21" i="36" s="1"/>
  <c r="AY32" i="36"/>
  <c r="BB32" i="36" s="1"/>
  <c r="BA7" i="38"/>
  <c r="BD7" i="38" s="1"/>
  <c r="BA13" i="38"/>
  <c r="BD13" i="38" s="1"/>
  <c r="AZ11" i="38"/>
  <c r="BC11" i="38" s="1"/>
  <c r="AZ18" i="38"/>
  <c r="BC18" i="38" s="1"/>
  <c r="BA8" i="38"/>
  <c r="BD8" i="38" s="1"/>
  <c r="AZ20" i="38"/>
  <c r="BC20" i="38" s="1"/>
  <c r="AZ5" i="38"/>
  <c r="BC5" i="38" s="1"/>
  <c r="AZ7" i="38"/>
  <c r="BC7" i="38" s="1"/>
  <c r="AT14" i="38"/>
  <c r="AZ14" i="38"/>
  <c r="BC14" i="38" s="1"/>
  <c r="AT12" i="38"/>
  <c r="AZ12" i="38"/>
  <c r="BC12" i="38" s="1"/>
  <c r="AT6" i="38"/>
  <c r="AZ6" i="38"/>
  <c r="BC6" i="38" s="1"/>
  <c r="AT8" i="38"/>
  <c r="AZ8" i="38"/>
  <c r="BC8" i="38" s="1"/>
  <c r="AY17" i="36"/>
  <c r="BB17" i="36" s="1"/>
  <c r="AY28" i="36"/>
  <c r="BB28" i="36" s="1"/>
  <c r="AZ22" i="36"/>
  <c r="BC22" i="36" s="1"/>
  <c r="AY25" i="36"/>
  <c r="BB25" i="36" s="1"/>
  <c r="AZ12" i="36"/>
  <c r="BC12" i="36" s="1"/>
  <c r="AY16" i="36"/>
  <c r="BB16" i="36" s="1"/>
  <c r="AZ14" i="36"/>
  <c r="BC14" i="36" s="1"/>
  <c r="AY9" i="36"/>
  <c r="BB9" i="36" s="1"/>
  <c r="AY8" i="36"/>
  <c r="BB8" i="36" s="1"/>
  <c r="AZ8" i="36"/>
  <c r="BC8" i="36" s="1"/>
  <c r="AZ28" i="37"/>
  <c r="BC28" i="37" s="1"/>
  <c r="AZ30" i="37"/>
  <c r="BC30" i="37" s="1"/>
  <c r="AY33" i="37"/>
  <c r="BB33" i="37" s="1"/>
  <c r="AY20" i="37"/>
  <c r="BB20" i="37" s="1"/>
  <c r="AY12" i="37"/>
  <c r="BB12" i="37" s="1"/>
  <c r="AZ6" i="37"/>
  <c r="BC6" i="37" s="1"/>
  <c r="AY25" i="37"/>
  <c r="BB25" i="37" s="1"/>
  <c r="AY9" i="37"/>
  <c r="BB9" i="37" s="1"/>
  <c r="AZ25" i="37"/>
  <c r="BC25" i="37" s="1"/>
  <c r="AZ23" i="37"/>
  <c r="BC23" i="37" s="1"/>
  <c r="AZ12" i="37"/>
  <c r="BC12" i="37" s="1"/>
  <c r="AY5" i="37"/>
  <c r="BB5" i="37" s="1"/>
  <c r="AY22" i="37"/>
  <c r="BB22" i="37" s="1"/>
  <c r="AZ13" i="37"/>
  <c r="BC13" i="37" s="1"/>
  <c r="AZ7" i="37"/>
  <c r="BC7" i="37" s="1"/>
  <c r="AZ16" i="37"/>
  <c r="BC16" i="37" s="1"/>
  <c r="AT32" i="37"/>
  <c r="AZ32" i="37"/>
  <c r="BC32" i="37" s="1"/>
  <c r="AY21" i="37"/>
  <c r="BB21" i="37" s="1"/>
  <c r="AY17" i="37"/>
  <c r="BB17" i="37" s="1"/>
  <c r="AY24" i="37"/>
  <c r="BB24" i="37" s="1"/>
  <c r="AZ20" i="37"/>
  <c r="BC20" i="37" s="1"/>
  <c r="AZ5" i="37"/>
  <c r="BC5" i="37" s="1"/>
  <c r="AY6" i="37"/>
  <c r="BB6" i="37" s="1"/>
  <c r="AY8" i="37"/>
  <c r="BB8" i="37" s="1"/>
  <c r="AY23" i="37"/>
  <c r="BB23" i="37" s="1"/>
  <c r="AY29" i="37"/>
  <c r="BB29" i="37" s="1"/>
  <c r="AZ29" i="37"/>
  <c r="BC29" i="37" s="1"/>
  <c r="AZ14" i="37"/>
  <c r="BC14" i="37" s="1"/>
  <c r="AZ21" i="37"/>
  <c r="BC21" i="37" s="1"/>
  <c r="AT24" i="37"/>
  <c r="AZ24" i="37"/>
  <c r="BC24" i="37" s="1"/>
  <c r="AY16" i="37"/>
  <c r="BB16" i="37" s="1"/>
  <c r="AZ31" i="37"/>
  <c r="BC31" i="37" s="1"/>
  <c r="AZ9" i="37"/>
  <c r="BC9" i="37" s="1"/>
  <c r="AT22" i="37"/>
  <c r="AZ22" i="37"/>
  <c r="BC22" i="37" s="1"/>
  <c r="AY7" i="36"/>
  <c r="BB7" i="36" s="1"/>
  <c r="AY21" i="36"/>
  <c r="BB21" i="36" s="1"/>
  <c r="AZ20" i="36"/>
  <c r="BC20" i="36" s="1"/>
  <c r="AY20" i="36"/>
  <c r="BB20" i="36" s="1"/>
  <c r="AY22" i="36"/>
  <c r="BB22" i="36" s="1"/>
  <c r="AZ16" i="36"/>
  <c r="BC16" i="36" s="1"/>
  <c r="AZ24" i="36"/>
  <c r="BC24" i="36" s="1"/>
  <c r="AY23" i="36"/>
  <c r="BB23" i="36" s="1"/>
  <c r="AZ28" i="36"/>
  <c r="BC28" i="36" s="1"/>
  <c r="AY5" i="36"/>
  <c r="BB5" i="36" s="1"/>
  <c r="AY29" i="36"/>
  <c r="BB29" i="36" s="1"/>
  <c r="AY33" i="36"/>
  <c r="BB33" i="36" s="1"/>
  <c r="AY14" i="36"/>
  <c r="BB14" i="36" s="1"/>
  <c r="AY24" i="36"/>
  <c r="BB24" i="36" s="1"/>
  <c r="AY31" i="36"/>
  <c r="BB31" i="36" s="1"/>
  <c r="AY12" i="36"/>
  <c r="BB12" i="36" s="1"/>
  <c r="AY15" i="36"/>
  <c r="BB15" i="36" s="1"/>
  <c r="AY6" i="36"/>
  <c r="BB6" i="36" s="1"/>
  <c r="AV8" i="35"/>
  <c r="AS8" i="35"/>
  <c r="AS7" i="34"/>
  <c r="AV7" i="34"/>
  <c r="AS8" i="34"/>
  <c r="AV8" i="34"/>
  <c r="D33" i="28"/>
  <c r="C33" i="28"/>
  <c r="D32" i="28"/>
  <c r="C32" i="28"/>
  <c r="D31" i="28"/>
  <c r="C31" i="28"/>
  <c r="D30" i="28"/>
  <c r="C30" i="28"/>
  <c r="D29" i="28"/>
  <c r="C29" i="28"/>
  <c r="D28" i="28"/>
  <c r="C28" i="28"/>
  <c r="X28" i="28" s="1"/>
  <c r="C25" i="28"/>
  <c r="D25" i="28"/>
  <c r="AB25" i="28" s="1"/>
  <c r="AE25" i="28" s="1"/>
  <c r="C21" i="28"/>
  <c r="D21" i="28"/>
  <c r="C22" i="28"/>
  <c r="U22" i="28" s="1"/>
  <c r="AV22" i="28" s="1"/>
  <c r="D22" i="28"/>
  <c r="AB22" i="28" s="1"/>
  <c r="AE22" i="28" s="1"/>
  <c r="C23" i="28"/>
  <c r="D23" i="28"/>
  <c r="C24" i="28"/>
  <c r="AA24" i="28" s="1"/>
  <c r="AD24" i="28" s="1"/>
  <c r="D24" i="28"/>
  <c r="V24" i="28" s="1"/>
  <c r="AW24" i="28" s="1"/>
  <c r="D20" i="28"/>
  <c r="Y20" i="28" s="1"/>
  <c r="C20" i="28"/>
  <c r="L20" i="28" s="1"/>
  <c r="C17" i="28"/>
  <c r="D16" i="28"/>
  <c r="G16" i="28" s="1"/>
  <c r="C16" i="28"/>
  <c r="D15" i="28"/>
  <c r="C15" i="28"/>
  <c r="F15" i="28" s="1"/>
  <c r="AP15" i="28" s="1"/>
  <c r="D14" i="28"/>
  <c r="C14" i="28"/>
  <c r="D13" i="28"/>
  <c r="C13" i="28"/>
  <c r="AA13" i="28" s="1"/>
  <c r="AD13" i="28" s="1"/>
  <c r="D12" i="28"/>
  <c r="C12" i="28"/>
  <c r="C6" i="28"/>
  <c r="AA6" i="28" s="1"/>
  <c r="AD6" i="28" s="1"/>
  <c r="D6" i="28"/>
  <c r="V6" i="28" s="1"/>
  <c r="C7" i="28"/>
  <c r="D7" i="28"/>
  <c r="C8" i="28"/>
  <c r="D8" i="28"/>
  <c r="C9" i="28"/>
  <c r="AA9" i="28" s="1"/>
  <c r="AD9" i="28" s="1"/>
  <c r="D9" i="28"/>
  <c r="M9" i="28" s="1"/>
  <c r="P9" i="28" s="1"/>
  <c r="D5" i="28"/>
  <c r="C5" i="28"/>
  <c r="AA5" i="28"/>
  <c r="AD5" i="28" s="1"/>
  <c r="C61" i="28"/>
  <c r="AB39" i="30"/>
  <c r="AE39" i="30" s="1"/>
  <c r="Z6" i="33"/>
  <c r="Y20" i="33"/>
  <c r="Y19" i="33"/>
  <c r="Y14" i="33"/>
  <c r="Z20" i="31"/>
  <c r="N19" i="31"/>
  <c r="AL19" i="31" s="1"/>
  <c r="Z18" i="31"/>
  <c r="Z17" i="31"/>
  <c r="AC11" i="31"/>
  <c r="AF11" i="31" s="1"/>
  <c r="H8" i="31"/>
  <c r="AR8" i="31" s="1"/>
  <c r="AC6" i="31"/>
  <c r="AF6" i="31" s="1"/>
  <c r="G17" i="31"/>
  <c r="J17" i="31" s="1"/>
  <c r="AB14" i="31"/>
  <c r="AE14" i="31" s="1"/>
  <c r="M8" i="31"/>
  <c r="AK8" i="31" s="1"/>
  <c r="AB20" i="31"/>
  <c r="AE20" i="31" s="1"/>
  <c r="F34" i="32"/>
  <c r="F33" i="32"/>
  <c r="F32" i="32"/>
  <c r="G35" i="32" s="1"/>
  <c r="F31" i="32"/>
  <c r="F30" i="32"/>
  <c r="F29" i="32"/>
  <c r="F26" i="32"/>
  <c r="F25" i="32"/>
  <c r="F24" i="32"/>
  <c r="F23" i="32"/>
  <c r="F22" i="32"/>
  <c r="F21" i="32"/>
  <c r="F18" i="32"/>
  <c r="F17" i="32"/>
  <c r="G19" i="32" s="1"/>
  <c r="F16" i="32"/>
  <c r="F15" i="32"/>
  <c r="F14" i="32"/>
  <c r="F13" i="32"/>
  <c r="F10" i="32"/>
  <c r="F9" i="32"/>
  <c r="F8" i="32"/>
  <c r="F7" i="32"/>
  <c r="F6" i="32"/>
  <c r="F38" i="32" s="1"/>
  <c r="Y14" i="31"/>
  <c r="Z11" i="31"/>
  <c r="AC20" i="30"/>
  <c r="AF20" i="30" s="1"/>
  <c r="AB20" i="30"/>
  <c r="AE20" i="30" s="1"/>
  <c r="Z19" i="30"/>
  <c r="G19" i="30"/>
  <c r="W18" i="30"/>
  <c r="M18" i="30"/>
  <c r="AK18" i="30" s="1"/>
  <c r="Z14" i="30"/>
  <c r="Y14" i="30"/>
  <c r="W13" i="30"/>
  <c r="Y13" i="30"/>
  <c r="Z12" i="30"/>
  <c r="Y12" i="33"/>
  <c r="Z11" i="30"/>
  <c r="Y11" i="30"/>
  <c r="Z8" i="30"/>
  <c r="G8" i="30"/>
  <c r="Z6" i="30"/>
  <c r="G6" i="30"/>
  <c r="Y5" i="30"/>
  <c r="H17" i="30"/>
  <c r="AR17" i="30" s="1"/>
  <c r="G17" i="30"/>
  <c r="Z13" i="30"/>
  <c r="V13" i="30"/>
  <c r="M13" i="30"/>
  <c r="AK13" i="30" s="1"/>
  <c r="G13" i="30"/>
  <c r="Z7" i="30"/>
  <c r="Y7" i="30"/>
  <c r="W7" i="30"/>
  <c r="V7" i="30"/>
  <c r="H7" i="30"/>
  <c r="AR7" i="30" s="1"/>
  <c r="W39" i="29"/>
  <c r="V39" i="29"/>
  <c r="E20" i="29"/>
  <c r="D20" i="29"/>
  <c r="V20" i="29" s="1"/>
  <c r="E19" i="29"/>
  <c r="D19" i="29"/>
  <c r="Y19" i="31" s="1"/>
  <c r="E18" i="29"/>
  <c r="D18" i="29"/>
  <c r="AB18" i="31" s="1"/>
  <c r="AE18" i="31" s="1"/>
  <c r="E17" i="29"/>
  <c r="D17" i="29"/>
  <c r="E14" i="29"/>
  <c r="D14" i="29"/>
  <c r="G14" i="29" s="1"/>
  <c r="AQ14" i="29" s="1"/>
  <c r="E13" i="29"/>
  <c r="D13" i="29"/>
  <c r="Y13" i="31" s="1"/>
  <c r="Z12" i="29"/>
  <c r="D12" i="29"/>
  <c r="G12" i="29" s="1"/>
  <c r="AQ12" i="29" s="1"/>
  <c r="E11" i="29"/>
  <c r="W11" i="29" s="1"/>
  <c r="D11" i="29"/>
  <c r="Y11" i="29" s="1"/>
  <c r="E8" i="29"/>
  <c r="Z8" i="29" s="1"/>
  <c r="D8" i="29"/>
  <c r="V8" i="29" s="1"/>
  <c r="E7" i="29"/>
  <c r="W7" i="29" s="1"/>
  <c r="D7" i="29"/>
  <c r="Y7" i="29" s="1"/>
  <c r="D6" i="29"/>
  <c r="V6" i="29" s="1"/>
  <c r="H5" i="29"/>
  <c r="K5" i="29" s="1"/>
  <c r="D5" i="29"/>
  <c r="Y5" i="31" s="1"/>
  <c r="Z39" i="29"/>
  <c r="G20" i="29"/>
  <c r="Z20" i="29"/>
  <c r="Y20" i="29"/>
  <c r="W19" i="29"/>
  <c r="V18" i="29"/>
  <c r="W17" i="29"/>
  <c r="V17" i="29"/>
  <c r="V14" i="29"/>
  <c r="W13" i="29"/>
  <c r="G30" i="28"/>
  <c r="L30" i="28"/>
  <c r="M28" i="28"/>
  <c r="Y24" i="28"/>
  <c r="V23" i="28"/>
  <c r="AW23" i="28" s="1"/>
  <c r="L22" i="28"/>
  <c r="O22" i="28" s="1"/>
  <c r="Y21" i="28"/>
  <c r="X21" i="28"/>
  <c r="M17" i="28"/>
  <c r="U17" i="28"/>
  <c r="Y12" i="28"/>
  <c r="X12" i="28"/>
  <c r="Y6" i="28"/>
  <c r="X61" i="28"/>
  <c r="Y32" i="28"/>
  <c r="U32" i="28"/>
  <c r="L25" i="28"/>
  <c r="O25" i="28" s="1"/>
  <c r="U25" i="28"/>
  <c r="AV25" i="28" s="1"/>
  <c r="AB24" i="28"/>
  <c r="AE24" i="28" s="1"/>
  <c r="L24" i="28"/>
  <c r="O24" i="28" s="1"/>
  <c r="G24" i="28"/>
  <c r="AQ24" i="28" s="1"/>
  <c r="U24" i="28"/>
  <c r="X23" i="28"/>
  <c r="U23" i="28"/>
  <c r="AV23" i="28" s="1"/>
  <c r="G23" i="28"/>
  <c r="AQ23" i="28" s="1"/>
  <c r="Y23" i="28"/>
  <c r="L23" i="28"/>
  <c r="V22" i="28"/>
  <c r="X16" i="28"/>
  <c r="U16" i="28"/>
  <c r="M16" i="28"/>
  <c r="P16" i="28" s="1"/>
  <c r="L16" i="28"/>
  <c r="O16" i="28" s="1"/>
  <c r="V15" i="28"/>
  <c r="V14" i="28"/>
  <c r="V8" i="28"/>
  <c r="U8" i="28"/>
  <c r="X7" i="28"/>
  <c r="F7" i="28"/>
  <c r="AB5" i="28"/>
  <c r="AE5" i="28" s="1"/>
  <c r="M5" i="28"/>
  <c r="P5" i="28" s="1"/>
  <c r="Y5" i="28"/>
  <c r="D33" i="27"/>
  <c r="C33" i="27"/>
  <c r="U33" i="27" s="1"/>
  <c r="D32" i="27"/>
  <c r="C32" i="27"/>
  <c r="D31" i="27"/>
  <c r="C31" i="27"/>
  <c r="U31" i="27" s="1"/>
  <c r="D30" i="27"/>
  <c r="C30" i="27"/>
  <c r="U30" i="27" s="1"/>
  <c r="D29" i="27"/>
  <c r="C29" i="27"/>
  <c r="U29" i="27" s="1"/>
  <c r="D28" i="27"/>
  <c r="C28" i="27"/>
  <c r="U28" i="27" s="1"/>
  <c r="D25" i="27"/>
  <c r="C25" i="27"/>
  <c r="D24" i="27"/>
  <c r="C24" i="27"/>
  <c r="D23" i="27"/>
  <c r="C23" i="27"/>
  <c r="U23" i="27" s="1"/>
  <c r="D22" i="27"/>
  <c r="C22" i="27"/>
  <c r="U22" i="27" s="1"/>
  <c r="D21" i="27"/>
  <c r="C21" i="27"/>
  <c r="U21" i="27" s="1"/>
  <c r="D20" i="27"/>
  <c r="C20" i="27"/>
  <c r="U20" i="27" s="1"/>
  <c r="C17" i="27"/>
  <c r="U17" i="27" s="1"/>
  <c r="D16" i="27"/>
  <c r="C16" i="27"/>
  <c r="U16" i="27" s="1"/>
  <c r="D15" i="27"/>
  <c r="C15" i="27"/>
  <c r="D14" i="27"/>
  <c r="C14" i="27"/>
  <c r="D13" i="27"/>
  <c r="C13" i="27"/>
  <c r="U13" i="27" s="1"/>
  <c r="D12" i="27"/>
  <c r="V12" i="27" s="1"/>
  <c r="C12" i="27"/>
  <c r="AA12" i="27" s="1"/>
  <c r="AD12" i="27" s="1"/>
  <c r="C6" i="27"/>
  <c r="D6" i="27"/>
  <c r="C7" i="27"/>
  <c r="U7" i="27" s="1"/>
  <c r="D7" i="27"/>
  <c r="V7" i="27" s="1"/>
  <c r="C8" i="27"/>
  <c r="D8" i="27"/>
  <c r="C9" i="27"/>
  <c r="D9" i="27"/>
  <c r="D5" i="27"/>
  <c r="C5" i="27"/>
  <c r="U32" i="27"/>
  <c r="AA31" i="27"/>
  <c r="AD31" i="27" s="1"/>
  <c r="AA25" i="27"/>
  <c r="AD25" i="27" s="1"/>
  <c r="U25" i="27"/>
  <c r="U24" i="27"/>
  <c r="V15" i="27"/>
  <c r="U15" i="27"/>
  <c r="AA14" i="27"/>
  <c r="AD14" i="27" s="1"/>
  <c r="V14" i="27"/>
  <c r="U14" i="27"/>
  <c r="V13" i="27"/>
  <c r="AA9" i="27"/>
  <c r="AD9" i="27" s="1"/>
  <c r="U9" i="27"/>
  <c r="U8" i="27"/>
  <c r="U6" i="27"/>
  <c r="AA5" i="27"/>
  <c r="AD5" i="27" s="1"/>
  <c r="D61" i="23"/>
  <c r="C61" i="23"/>
  <c r="C33" i="13"/>
  <c r="D32" i="13"/>
  <c r="C32" i="13"/>
  <c r="D31" i="13"/>
  <c r="C31" i="13"/>
  <c r="D30" i="13"/>
  <c r="C30" i="13"/>
  <c r="D29" i="13"/>
  <c r="C29" i="13"/>
  <c r="D28" i="13"/>
  <c r="C28" i="13"/>
  <c r="D25" i="13"/>
  <c r="C25" i="13"/>
  <c r="D24" i="13"/>
  <c r="C24" i="13"/>
  <c r="D23" i="13"/>
  <c r="C23" i="13"/>
  <c r="D22" i="13"/>
  <c r="C22" i="13"/>
  <c r="D21" i="13"/>
  <c r="C21" i="13"/>
  <c r="D20" i="13"/>
  <c r="C20" i="13"/>
  <c r="D17" i="13"/>
  <c r="C17" i="13"/>
  <c r="D16" i="13"/>
  <c r="C16" i="13"/>
  <c r="D15" i="13"/>
  <c r="C15" i="13"/>
  <c r="D14" i="13"/>
  <c r="C14" i="13"/>
  <c r="D13" i="13"/>
  <c r="C13" i="13"/>
  <c r="D12" i="13"/>
  <c r="C12" i="13"/>
  <c r="C6" i="13"/>
  <c r="D6" i="13"/>
  <c r="C7" i="13"/>
  <c r="D7" i="13"/>
  <c r="C8" i="13"/>
  <c r="D8" i="13"/>
  <c r="C9" i="13"/>
  <c r="D9" i="13"/>
  <c r="D5" i="13"/>
  <c r="C5" i="13"/>
  <c r="AG61" i="26"/>
  <c r="AD61" i="26"/>
  <c r="AB61" i="26"/>
  <c r="AE61" i="26" s="1"/>
  <c r="AA61" i="26"/>
  <c r="Y61" i="26"/>
  <c r="X61" i="26"/>
  <c r="V61" i="26"/>
  <c r="AW61" i="26" s="1"/>
  <c r="U61" i="26"/>
  <c r="M61" i="26"/>
  <c r="L61" i="26"/>
  <c r="G61" i="26"/>
  <c r="F61" i="26"/>
  <c r="AK33" i="26"/>
  <c r="AJ33" i="26"/>
  <c r="AB33" i="26"/>
  <c r="AE33" i="26" s="1"/>
  <c r="AA33" i="26"/>
  <c r="AD33" i="26" s="1"/>
  <c r="Y33" i="26"/>
  <c r="X33" i="26"/>
  <c r="V33" i="26"/>
  <c r="U33" i="26"/>
  <c r="M33" i="26"/>
  <c r="P33" i="26" s="1"/>
  <c r="L33" i="26"/>
  <c r="O33" i="26" s="1"/>
  <c r="G33" i="26"/>
  <c r="AQ33" i="26" s="1"/>
  <c r="F33" i="26"/>
  <c r="AP33" i="26" s="1"/>
  <c r="AQ32" i="26"/>
  <c r="AP32" i="26"/>
  <c r="AK32" i="26"/>
  <c r="S32" i="26" s="1"/>
  <c r="AJ32" i="26"/>
  <c r="R32" i="26" s="1"/>
  <c r="AB32" i="26"/>
  <c r="AE32" i="26" s="1"/>
  <c r="AA32" i="26"/>
  <c r="AD32" i="26" s="1"/>
  <c r="Y32" i="26"/>
  <c r="X32" i="26"/>
  <c r="V32" i="26"/>
  <c r="AW32" i="26" s="1"/>
  <c r="U32" i="26"/>
  <c r="AV32" i="26" s="1"/>
  <c r="P32" i="26"/>
  <c r="O32" i="26"/>
  <c r="M32" i="26"/>
  <c r="L32" i="26"/>
  <c r="J32" i="26"/>
  <c r="I32" i="26"/>
  <c r="G32" i="26"/>
  <c r="F32" i="26"/>
  <c r="AQ31" i="26"/>
  <c r="AP31" i="26"/>
  <c r="AN31" i="26"/>
  <c r="AM31" i="26"/>
  <c r="AE31" i="26"/>
  <c r="AD31" i="26"/>
  <c r="AB31" i="26"/>
  <c r="AA31" i="26"/>
  <c r="Y31" i="26"/>
  <c r="AH31" i="26" s="1"/>
  <c r="X31" i="26"/>
  <c r="AG31" i="26" s="1"/>
  <c r="V31" i="26"/>
  <c r="AW31" i="26" s="1"/>
  <c r="U31" i="26"/>
  <c r="AV31" i="26" s="1"/>
  <c r="P31" i="26"/>
  <c r="O31" i="26"/>
  <c r="M31" i="26"/>
  <c r="AK31" i="26" s="1"/>
  <c r="L31" i="26"/>
  <c r="AJ31" i="26" s="1"/>
  <c r="G31" i="26"/>
  <c r="J31" i="26" s="1"/>
  <c r="F31" i="26"/>
  <c r="I31" i="26" s="1"/>
  <c r="AN30" i="26"/>
  <c r="AZ30" i="26" s="1"/>
  <c r="BC30" i="26" s="1"/>
  <c r="AM30" i="26"/>
  <c r="AY30" i="26" s="1"/>
  <c r="BB30" i="26" s="1"/>
  <c r="AH30" i="26"/>
  <c r="AG30" i="26"/>
  <c r="AE30" i="26"/>
  <c r="AD30" i="26"/>
  <c r="AB30" i="26"/>
  <c r="AA30" i="26"/>
  <c r="Y30" i="26"/>
  <c r="X30" i="26"/>
  <c r="V30" i="26"/>
  <c r="AW30" i="26" s="1"/>
  <c r="U30" i="26"/>
  <c r="AV30" i="26" s="1"/>
  <c r="M30" i="26"/>
  <c r="AK30" i="26" s="1"/>
  <c r="S30" i="26" s="1"/>
  <c r="L30" i="26"/>
  <c r="AJ30" i="26" s="1"/>
  <c r="R30" i="26" s="1"/>
  <c r="J30" i="26"/>
  <c r="I30" i="26"/>
  <c r="G30" i="26"/>
  <c r="AQ30" i="26" s="1"/>
  <c r="F30" i="26"/>
  <c r="AP30" i="26" s="1"/>
  <c r="AW29" i="26"/>
  <c r="AV29" i="26"/>
  <c r="AH29" i="26"/>
  <c r="AG29" i="26"/>
  <c r="AE29" i="26"/>
  <c r="AD29" i="26"/>
  <c r="AB29" i="26"/>
  <c r="AA29" i="26"/>
  <c r="Y29" i="26"/>
  <c r="X29" i="26"/>
  <c r="V29" i="26"/>
  <c r="U29" i="26"/>
  <c r="M29" i="26"/>
  <c r="AK29" i="26" s="1"/>
  <c r="S29" i="26" s="1"/>
  <c r="L29" i="26"/>
  <c r="O29" i="26" s="1"/>
  <c r="G29" i="26"/>
  <c r="AQ29" i="26" s="1"/>
  <c r="F29" i="26"/>
  <c r="AP29" i="26" s="1"/>
  <c r="AQ28" i="26"/>
  <c r="AP28" i="26"/>
  <c r="AB28" i="26"/>
  <c r="AE28" i="26" s="1"/>
  <c r="AA28" i="26"/>
  <c r="AD28" i="26" s="1"/>
  <c r="Y28" i="26"/>
  <c r="AH28" i="26" s="1"/>
  <c r="X28" i="26"/>
  <c r="AG28" i="26" s="1"/>
  <c r="V28" i="26"/>
  <c r="AW28" i="26" s="1"/>
  <c r="U28" i="26"/>
  <c r="AV28" i="26" s="1"/>
  <c r="M28" i="26"/>
  <c r="AK28" i="26" s="1"/>
  <c r="S28" i="26" s="1"/>
  <c r="L28" i="26"/>
  <c r="AJ28" i="26" s="1"/>
  <c r="R28" i="26" s="1"/>
  <c r="G28" i="26"/>
  <c r="J28" i="26" s="1"/>
  <c r="F28" i="26"/>
  <c r="I28" i="26" s="1"/>
  <c r="AS25" i="26"/>
  <c r="AQ25" i="26"/>
  <c r="AP25" i="26"/>
  <c r="AK25" i="26"/>
  <c r="S25" i="26" s="1"/>
  <c r="AB25" i="26"/>
  <c r="AE25" i="26" s="1"/>
  <c r="AA25" i="26"/>
  <c r="AD25" i="26" s="1"/>
  <c r="Y25" i="26"/>
  <c r="AH25" i="26" s="1"/>
  <c r="X25" i="26"/>
  <c r="AG25" i="26" s="1"/>
  <c r="V25" i="26"/>
  <c r="U25" i="26"/>
  <c r="AM25" i="26" s="1"/>
  <c r="M25" i="26"/>
  <c r="P25" i="26" s="1"/>
  <c r="L25" i="26"/>
  <c r="O25" i="26" s="1"/>
  <c r="J25" i="26"/>
  <c r="I25" i="26"/>
  <c r="AY25" i="26" s="1"/>
  <c r="BB25" i="26" s="1"/>
  <c r="G25" i="26"/>
  <c r="F25" i="26"/>
  <c r="AQ24" i="26"/>
  <c r="AP24" i="26"/>
  <c r="AK24" i="26"/>
  <c r="S24" i="26" s="1"/>
  <c r="AJ24" i="26"/>
  <c r="R24" i="26" s="1"/>
  <c r="AB24" i="26"/>
  <c r="AE24" i="26" s="1"/>
  <c r="AA24" i="26"/>
  <c r="AD24" i="26" s="1"/>
  <c r="Y24" i="26"/>
  <c r="X24" i="26"/>
  <c r="V24" i="26"/>
  <c r="AW24" i="26" s="1"/>
  <c r="U24" i="26"/>
  <c r="AV24" i="26" s="1"/>
  <c r="P24" i="26"/>
  <c r="O24" i="26"/>
  <c r="M24" i="26"/>
  <c r="L24" i="26"/>
  <c r="J24" i="26"/>
  <c r="I24" i="26"/>
  <c r="G24" i="26"/>
  <c r="F24" i="26"/>
  <c r="AW23" i="26"/>
  <c r="AV23" i="26"/>
  <c r="AG23" i="26"/>
  <c r="AE23" i="26"/>
  <c r="AD23" i="26"/>
  <c r="AB23" i="26"/>
  <c r="AA23" i="26"/>
  <c r="Y23" i="26"/>
  <c r="AH23" i="26" s="1"/>
  <c r="X23" i="26"/>
  <c r="V23" i="26"/>
  <c r="U23" i="26"/>
  <c r="M23" i="26"/>
  <c r="AK23" i="26" s="1"/>
  <c r="L23" i="26"/>
  <c r="G23" i="26"/>
  <c r="F23" i="26"/>
  <c r="AJ22" i="26"/>
  <c r="R22" i="26" s="1"/>
  <c r="AH22" i="26"/>
  <c r="AG22" i="26"/>
  <c r="AE22" i="26"/>
  <c r="AD22" i="26"/>
  <c r="AB22" i="26"/>
  <c r="AA22" i="26"/>
  <c r="Y22" i="26"/>
  <c r="X22" i="26"/>
  <c r="V22" i="26"/>
  <c r="AW22" i="26" s="1"/>
  <c r="U22" i="26"/>
  <c r="AV22" i="26" s="1"/>
  <c r="P22" i="26"/>
  <c r="M22" i="26"/>
  <c r="AK22" i="26" s="1"/>
  <c r="S22" i="26" s="1"/>
  <c r="L22" i="26"/>
  <c r="O22" i="26" s="1"/>
  <c r="J22" i="26"/>
  <c r="I22" i="26"/>
  <c r="G22" i="26"/>
  <c r="AQ22" i="26" s="1"/>
  <c r="F22" i="26"/>
  <c r="AP22" i="26" s="1"/>
  <c r="AW21" i="26"/>
  <c r="AV21" i="26"/>
  <c r="AK21" i="26"/>
  <c r="AJ21" i="26"/>
  <c r="AB21" i="26"/>
  <c r="AE21" i="26" s="1"/>
  <c r="AA21" i="26"/>
  <c r="AD21" i="26" s="1"/>
  <c r="Y21" i="26"/>
  <c r="AH21" i="26" s="1"/>
  <c r="X21" i="26"/>
  <c r="AG21" i="26" s="1"/>
  <c r="V21" i="26"/>
  <c r="U21" i="26"/>
  <c r="S21" i="26"/>
  <c r="R21" i="26"/>
  <c r="M21" i="26"/>
  <c r="P21" i="26" s="1"/>
  <c r="L21" i="26"/>
  <c r="O21" i="26" s="1"/>
  <c r="G21" i="26"/>
  <c r="F21" i="26"/>
  <c r="AP21" i="26" s="1"/>
  <c r="AW20" i="26"/>
  <c r="AV20" i="26"/>
  <c r="AB20" i="26"/>
  <c r="AE20" i="26" s="1"/>
  <c r="AA20" i="26"/>
  <c r="AD20" i="26" s="1"/>
  <c r="Y20" i="26"/>
  <c r="AH20" i="26" s="1"/>
  <c r="X20" i="26"/>
  <c r="AG20" i="26" s="1"/>
  <c r="V20" i="26"/>
  <c r="U20" i="26"/>
  <c r="M20" i="26"/>
  <c r="AK20" i="26" s="1"/>
  <c r="L20" i="26"/>
  <c r="AJ20" i="26" s="1"/>
  <c r="G20" i="26"/>
  <c r="J20" i="26" s="1"/>
  <c r="F20" i="26"/>
  <c r="AW17" i="26"/>
  <c r="AV17" i="26"/>
  <c r="AT17" i="26"/>
  <c r="AS17" i="26"/>
  <c r="AK17" i="26"/>
  <c r="AJ17" i="26"/>
  <c r="AB17" i="26"/>
  <c r="AE17" i="26" s="1"/>
  <c r="AA17" i="26"/>
  <c r="AD17" i="26" s="1"/>
  <c r="Y17" i="26"/>
  <c r="AH17" i="26" s="1"/>
  <c r="X17" i="26"/>
  <c r="AG17" i="26" s="1"/>
  <c r="V17" i="26"/>
  <c r="AN17" i="26" s="1"/>
  <c r="U17" i="26"/>
  <c r="AM17" i="26" s="1"/>
  <c r="M17" i="26"/>
  <c r="P17" i="26" s="1"/>
  <c r="L17" i="26"/>
  <c r="O17" i="26" s="1"/>
  <c r="G17" i="26"/>
  <c r="AQ17" i="26" s="1"/>
  <c r="F17" i="26"/>
  <c r="AQ16" i="26"/>
  <c r="AP16" i="26"/>
  <c r="AK16" i="26"/>
  <c r="S16" i="26" s="1"/>
  <c r="AJ16" i="26"/>
  <c r="R16" i="26" s="1"/>
  <c r="AB16" i="26"/>
  <c r="AA16" i="26"/>
  <c r="AD16" i="26" s="1"/>
  <c r="Y16" i="26"/>
  <c r="X16" i="26"/>
  <c r="V16" i="26"/>
  <c r="U16" i="26"/>
  <c r="P16" i="26"/>
  <c r="O16" i="26"/>
  <c r="M16" i="26"/>
  <c r="L16" i="26"/>
  <c r="J16" i="26"/>
  <c r="I16" i="26"/>
  <c r="G16" i="26"/>
  <c r="F16" i="26"/>
  <c r="AH15" i="26"/>
  <c r="AG15" i="26"/>
  <c r="AE15" i="26"/>
  <c r="AD15" i="26"/>
  <c r="AB15" i="26"/>
  <c r="AA15" i="26"/>
  <c r="Y15" i="26"/>
  <c r="X15" i="26"/>
  <c r="V15" i="26"/>
  <c r="AW15" i="26" s="1"/>
  <c r="U15" i="26"/>
  <c r="AV15" i="26" s="1"/>
  <c r="M15" i="26"/>
  <c r="AK15" i="26" s="1"/>
  <c r="L15" i="26"/>
  <c r="AJ15" i="26" s="1"/>
  <c r="G15" i="26"/>
  <c r="F15" i="26"/>
  <c r="I15" i="26" s="1"/>
  <c r="AK14" i="26"/>
  <c r="AJ14" i="26"/>
  <c r="AH14" i="26"/>
  <c r="AG14" i="26"/>
  <c r="AE14" i="26"/>
  <c r="AD14" i="26"/>
  <c r="AB14" i="26"/>
  <c r="AA14" i="26"/>
  <c r="Y14" i="26"/>
  <c r="X14" i="26"/>
  <c r="V14" i="26"/>
  <c r="AW14" i="26" s="1"/>
  <c r="U14" i="26"/>
  <c r="AV14" i="26" s="1"/>
  <c r="S14" i="26"/>
  <c r="R14" i="26"/>
  <c r="P14" i="26"/>
  <c r="O14" i="26"/>
  <c r="M14" i="26"/>
  <c r="L14" i="26"/>
  <c r="J14" i="26"/>
  <c r="I14" i="26"/>
  <c r="G14" i="26"/>
  <c r="AQ14" i="26" s="1"/>
  <c r="F14" i="26"/>
  <c r="AP14" i="26" s="1"/>
  <c r="AW13" i="26"/>
  <c r="AV13" i="26"/>
  <c r="AB13" i="26"/>
  <c r="AE13" i="26" s="1"/>
  <c r="AA13" i="26"/>
  <c r="AD13" i="26" s="1"/>
  <c r="Y13" i="26"/>
  <c r="AH13" i="26" s="1"/>
  <c r="X13" i="26"/>
  <c r="AG13" i="26" s="1"/>
  <c r="V13" i="26"/>
  <c r="U13" i="26"/>
  <c r="M13" i="26"/>
  <c r="L13" i="26"/>
  <c r="AJ13" i="26" s="1"/>
  <c r="G13" i="26"/>
  <c r="AQ13" i="26" s="1"/>
  <c r="F13" i="26"/>
  <c r="AP13" i="26" s="1"/>
  <c r="AQ12" i="26"/>
  <c r="AP12" i="26"/>
  <c r="AM12" i="26"/>
  <c r="AS12" i="26" s="1"/>
  <c r="AJ12" i="26"/>
  <c r="AD12" i="26"/>
  <c r="AB12" i="26"/>
  <c r="AE12" i="26" s="1"/>
  <c r="AA12" i="26"/>
  <c r="Y12" i="26"/>
  <c r="X12" i="26"/>
  <c r="AG12" i="26" s="1"/>
  <c r="V12" i="26"/>
  <c r="AW12" i="26" s="1"/>
  <c r="U12" i="26"/>
  <c r="AV12" i="26" s="1"/>
  <c r="R12" i="26"/>
  <c r="P12" i="26"/>
  <c r="O12" i="26"/>
  <c r="M12" i="26"/>
  <c r="AK12" i="26" s="1"/>
  <c r="L12" i="26"/>
  <c r="J12" i="26"/>
  <c r="I12" i="26"/>
  <c r="G12" i="26"/>
  <c r="F12" i="26"/>
  <c r="AW9" i="26"/>
  <c r="AV9" i="26"/>
  <c r="AP9" i="26"/>
  <c r="AK9" i="26"/>
  <c r="AB9" i="26"/>
  <c r="AE9" i="26" s="1"/>
  <c r="AA9" i="26"/>
  <c r="Y9" i="26"/>
  <c r="X9" i="26"/>
  <c r="V9" i="26"/>
  <c r="U9" i="26"/>
  <c r="S9" i="26"/>
  <c r="M9" i="26"/>
  <c r="P9" i="26" s="1"/>
  <c r="L9" i="26"/>
  <c r="AJ9" i="26" s="1"/>
  <c r="R9" i="26" s="1"/>
  <c r="I9" i="26"/>
  <c r="G9" i="26"/>
  <c r="F9" i="26"/>
  <c r="AV8" i="26"/>
  <c r="AK8" i="26"/>
  <c r="AG8" i="26"/>
  <c r="AD8" i="26"/>
  <c r="AB8" i="26"/>
  <c r="AE8" i="26" s="1"/>
  <c r="AA8" i="26"/>
  <c r="Y8" i="26"/>
  <c r="X8" i="26"/>
  <c r="V8" i="26"/>
  <c r="AW8" i="26" s="1"/>
  <c r="U8" i="26"/>
  <c r="P8" i="26"/>
  <c r="M8" i="26"/>
  <c r="L8" i="26"/>
  <c r="AJ8" i="26" s="1"/>
  <c r="R8" i="26" s="1"/>
  <c r="I8" i="26"/>
  <c r="G8" i="26"/>
  <c r="J8" i="26" s="1"/>
  <c r="F8" i="26"/>
  <c r="AQ7" i="26"/>
  <c r="AP7" i="26"/>
  <c r="AM7" i="26"/>
  <c r="AS7" i="26" s="1"/>
  <c r="AK7" i="26"/>
  <c r="S7" i="26" s="1"/>
  <c r="AJ7" i="26"/>
  <c r="R7" i="26" s="1"/>
  <c r="AH7" i="26"/>
  <c r="AN7" i="26" s="1"/>
  <c r="AT7" i="26" s="1"/>
  <c r="AE7" i="26"/>
  <c r="AB7" i="26"/>
  <c r="AA7" i="26"/>
  <c r="AD7" i="26" s="1"/>
  <c r="Y7" i="26"/>
  <c r="X7" i="26"/>
  <c r="AG7" i="26" s="1"/>
  <c r="V7" i="26"/>
  <c r="AW7" i="26" s="1"/>
  <c r="U7" i="26"/>
  <c r="AV7" i="26" s="1"/>
  <c r="P7" i="26"/>
  <c r="O7" i="26"/>
  <c r="M7" i="26"/>
  <c r="L7" i="26"/>
  <c r="G7" i="26"/>
  <c r="J7" i="26" s="1"/>
  <c r="F7" i="26"/>
  <c r="I7" i="26" s="1"/>
  <c r="AY7" i="26" s="1"/>
  <c r="BB7" i="26" s="1"/>
  <c r="AW6" i="26"/>
  <c r="AV6" i="26"/>
  <c r="AB6" i="26"/>
  <c r="AH6" i="26" s="1"/>
  <c r="AA6" i="26"/>
  <c r="AG6" i="26" s="1"/>
  <c r="Y6" i="26"/>
  <c r="X6" i="26"/>
  <c r="V6" i="26"/>
  <c r="U6" i="26"/>
  <c r="M6" i="26"/>
  <c r="L6" i="26"/>
  <c r="AJ6" i="26" s="1"/>
  <c r="R6" i="26" s="1"/>
  <c r="J6" i="26"/>
  <c r="I6" i="26"/>
  <c r="G6" i="26"/>
  <c r="AQ6" i="26" s="1"/>
  <c r="F6" i="26"/>
  <c r="AP6" i="26" s="1"/>
  <c r="AW5" i="26"/>
  <c r="AV5" i="26"/>
  <c r="AQ5" i="26"/>
  <c r="AJ5" i="26"/>
  <c r="R5" i="26" s="1"/>
  <c r="AB5" i="26"/>
  <c r="AE5" i="26" s="1"/>
  <c r="AA5" i="26"/>
  <c r="AD5" i="26" s="1"/>
  <c r="Y5" i="26"/>
  <c r="AH5" i="26" s="1"/>
  <c r="X5" i="26"/>
  <c r="AG5" i="26" s="1"/>
  <c r="V5" i="26"/>
  <c r="U5" i="26"/>
  <c r="AM5" i="26" s="1"/>
  <c r="AS5" i="26" s="1"/>
  <c r="P5" i="26"/>
  <c r="O5" i="26"/>
  <c r="M5" i="26"/>
  <c r="AK5" i="26" s="1"/>
  <c r="L5" i="26"/>
  <c r="G5" i="26"/>
  <c r="J5" i="26" s="1"/>
  <c r="F5" i="26"/>
  <c r="I5" i="26" s="1"/>
  <c r="C33" i="23"/>
  <c r="Z36" i="35" l="1"/>
  <c r="Z28" i="35"/>
  <c r="Z20" i="35"/>
  <c r="AJ20" i="35"/>
  <c r="AJ36" i="35"/>
  <c r="AJ28" i="35"/>
  <c r="AO25" i="35"/>
  <c r="AO33" i="35"/>
  <c r="AO17" i="35"/>
  <c r="AE17" i="35"/>
  <c r="AE25" i="35"/>
  <c r="AE33" i="35"/>
  <c r="AJ24" i="35"/>
  <c r="AJ32" i="35"/>
  <c r="AJ16" i="35"/>
  <c r="Z16" i="35"/>
  <c r="Z24" i="35"/>
  <c r="Z32" i="35"/>
  <c r="AI27" i="35"/>
  <c r="AI35" i="35"/>
  <c r="AI19" i="35"/>
  <c r="Y27" i="35"/>
  <c r="Y19" i="35"/>
  <c r="Y35" i="35"/>
  <c r="AM32" i="35"/>
  <c r="AM24" i="35"/>
  <c r="AM16" i="35"/>
  <c r="AC24" i="35"/>
  <c r="AC48" i="35"/>
  <c r="AC16" i="35"/>
  <c r="AC40" i="35"/>
  <c r="AC32" i="35"/>
  <c r="X32" i="35"/>
  <c r="X24" i="35"/>
  <c r="X16" i="35"/>
  <c r="X40" i="35"/>
  <c r="X48" i="35"/>
  <c r="AH24" i="35"/>
  <c r="AH32" i="35"/>
  <c r="AH16" i="35"/>
  <c r="AC23" i="35"/>
  <c r="AC31" i="35"/>
  <c r="AC47" i="35"/>
  <c r="AC15" i="35"/>
  <c r="AC39" i="35"/>
  <c r="AM15" i="35"/>
  <c r="AM23" i="35"/>
  <c r="AM31" i="35"/>
  <c r="AG19" i="35"/>
  <c r="AG35" i="35"/>
  <c r="AG27" i="35"/>
  <c r="W19" i="35"/>
  <c r="W27" i="35"/>
  <c r="W35" i="35"/>
  <c r="AO19" i="35"/>
  <c r="AO35" i="35"/>
  <c r="AO27" i="35"/>
  <c r="AE19" i="35"/>
  <c r="AE27" i="35"/>
  <c r="AE35" i="35"/>
  <c r="P19" i="35"/>
  <c r="P27" i="35"/>
  <c r="P35" i="35"/>
  <c r="Z27" i="35"/>
  <c r="Z19" i="35"/>
  <c r="Z35" i="35"/>
  <c r="AJ27" i="35"/>
  <c r="AJ35" i="35"/>
  <c r="AJ19" i="35"/>
  <c r="P18" i="35"/>
  <c r="P26" i="35"/>
  <c r="P34" i="35"/>
  <c r="AJ18" i="35"/>
  <c r="AJ34" i="35"/>
  <c r="AJ26" i="35"/>
  <c r="Z26" i="35"/>
  <c r="Z18" i="35"/>
  <c r="Z34" i="35"/>
  <c r="P33" i="35"/>
  <c r="P25" i="35"/>
  <c r="P17" i="35"/>
  <c r="AJ33" i="35"/>
  <c r="AJ25" i="35"/>
  <c r="AJ17" i="35"/>
  <c r="Z25" i="35"/>
  <c r="Z33" i="35"/>
  <c r="Z17" i="35"/>
  <c r="U16" i="35"/>
  <c r="U32" i="35"/>
  <c r="U24" i="35"/>
  <c r="AO32" i="35"/>
  <c r="AO24" i="35"/>
  <c r="AO16" i="35"/>
  <c r="AE24" i="35"/>
  <c r="AE32" i="35"/>
  <c r="AE16" i="35"/>
  <c r="U31" i="35"/>
  <c r="U15" i="35"/>
  <c r="U23" i="35"/>
  <c r="AO31" i="35"/>
  <c r="AO23" i="35"/>
  <c r="AO15" i="35"/>
  <c r="AE31" i="35"/>
  <c r="AE23" i="35"/>
  <c r="AE15" i="35"/>
  <c r="AJ23" i="35"/>
  <c r="AJ15" i="35"/>
  <c r="AJ31" i="35"/>
  <c r="Z15" i="35"/>
  <c r="Z23" i="35"/>
  <c r="Z31" i="35"/>
  <c r="AD18" i="35"/>
  <c r="AD34" i="35"/>
  <c r="AD26" i="35"/>
  <c r="AN34" i="35"/>
  <c r="AN26" i="35"/>
  <c r="AN18" i="35"/>
  <c r="AI18" i="35"/>
  <c r="AI26" i="35"/>
  <c r="AI34" i="35"/>
  <c r="Y18" i="35"/>
  <c r="Y26" i="35"/>
  <c r="Y34" i="35"/>
  <c r="AN33" i="35"/>
  <c r="AN25" i="35"/>
  <c r="AN17" i="35"/>
  <c r="AD17" i="35"/>
  <c r="AD49" i="35"/>
  <c r="AD25" i="35"/>
  <c r="AD33" i="35"/>
  <c r="AD41" i="35"/>
  <c r="AD31" i="35"/>
  <c r="AD15" i="35"/>
  <c r="AD39" i="35"/>
  <c r="AD47" i="35"/>
  <c r="AD23" i="35"/>
  <c r="AN31" i="35"/>
  <c r="AN23" i="35"/>
  <c r="AN15" i="35"/>
  <c r="T39" i="35"/>
  <c r="T31" i="35"/>
  <c r="T47" i="35"/>
  <c r="T15" i="35"/>
  <c r="T23" i="35"/>
  <c r="AC27" i="35"/>
  <c r="AC19" i="35"/>
  <c r="AC35" i="35"/>
  <c r="AM35" i="35"/>
  <c r="AM27" i="35"/>
  <c r="AM19" i="35"/>
  <c r="AM25" i="35"/>
  <c r="AM17" i="35"/>
  <c r="AM33" i="35"/>
  <c r="AC49" i="35"/>
  <c r="AC41" i="35"/>
  <c r="AC25" i="35"/>
  <c r="AC17" i="35"/>
  <c r="AC33" i="35"/>
  <c r="AL18" i="35"/>
  <c r="AL34" i="35"/>
  <c r="AL26" i="35"/>
  <c r="AB26" i="35"/>
  <c r="AB18" i="35"/>
  <c r="AB34" i="35"/>
  <c r="W26" i="35"/>
  <c r="W34" i="35"/>
  <c r="W18" i="35"/>
  <c r="AG18" i="35"/>
  <c r="AG34" i="35"/>
  <c r="AG26" i="35"/>
  <c r="W15" i="35"/>
  <c r="W39" i="35"/>
  <c r="W31" i="35"/>
  <c r="W47" i="35"/>
  <c r="W23" i="35"/>
  <c r="AG15" i="35"/>
  <c r="AG23" i="35"/>
  <c r="AG31" i="35"/>
  <c r="AS7" i="35"/>
  <c r="AV7" i="35"/>
  <c r="P15" i="35"/>
  <c r="P23" i="35"/>
  <c r="P31" i="35"/>
  <c r="M18" i="35"/>
  <c r="M34" i="35"/>
  <c r="M26" i="35"/>
  <c r="M15" i="35"/>
  <c r="M31" i="35"/>
  <c r="M39" i="35"/>
  <c r="M23" i="35"/>
  <c r="M47" i="35"/>
  <c r="R39" i="35"/>
  <c r="R47" i="35"/>
  <c r="R31" i="35"/>
  <c r="R15" i="35"/>
  <c r="R23" i="35"/>
  <c r="AZ32" i="36"/>
  <c r="BC32" i="36" s="1"/>
  <c r="AT32" i="36"/>
  <c r="E6" i="40"/>
  <c r="W6" i="38"/>
  <c r="AX6" i="38"/>
  <c r="N6" i="38"/>
  <c r="AC6" i="38"/>
  <c r="AF6" i="38" s="1"/>
  <c r="Z6" i="38"/>
  <c r="H6" i="38"/>
  <c r="E5" i="40"/>
  <c r="AC5" i="38"/>
  <c r="AF5" i="38" s="1"/>
  <c r="Z5" i="38"/>
  <c r="H5" i="38"/>
  <c r="W5" i="38"/>
  <c r="AX5" i="38" s="1"/>
  <c r="N5" i="38"/>
  <c r="AZ17" i="36"/>
  <c r="BC17" i="36" s="1"/>
  <c r="S36" i="35"/>
  <c r="S20" i="35"/>
  <c r="S28" i="35"/>
  <c r="V33" i="28"/>
  <c r="AW33" i="28" s="1"/>
  <c r="D33" i="37"/>
  <c r="U61" i="27"/>
  <c r="AV61" i="27" s="1"/>
  <c r="V61" i="27"/>
  <c r="D61" i="28"/>
  <c r="M61" i="28" s="1"/>
  <c r="AX8" i="35"/>
  <c r="AZ8" i="35" s="1"/>
  <c r="BB8" i="35" s="1"/>
  <c r="AU8" i="35"/>
  <c r="AU7" i="34"/>
  <c r="AX7" i="34"/>
  <c r="AZ7" i="34" s="1"/>
  <c r="BB7" i="34" s="1"/>
  <c r="AU8" i="34"/>
  <c r="AX8" i="34"/>
  <c r="AZ8" i="34" s="1"/>
  <c r="BB8" i="34" s="1"/>
  <c r="Z18" i="30"/>
  <c r="Z19" i="33"/>
  <c r="Z20" i="33"/>
  <c r="H18" i="30"/>
  <c r="AR18" i="30" s="1"/>
  <c r="H11" i="30"/>
  <c r="AR11" i="30" s="1"/>
  <c r="H13" i="30"/>
  <c r="AR13" i="30" s="1"/>
  <c r="Z8" i="33"/>
  <c r="H5" i="30"/>
  <c r="AR5" i="30" s="1"/>
  <c r="Z5" i="30"/>
  <c r="Z5" i="33"/>
  <c r="W5" i="33"/>
  <c r="AX5" i="33" s="1"/>
  <c r="Y18" i="33"/>
  <c r="Y18" i="30"/>
  <c r="G18" i="30"/>
  <c r="S18" i="30" s="1"/>
  <c r="G12" i="30"/>
  <c r="J12" i="30" s="1"/>
  <c r="Y11" i="33"/>
  <c r="G14" i="30"/>
  <c r="J14" i="30" s="1"/>
  <c r="G11" i="30"/>
  <c r="J11" i="30" s="1"/>
  <c r="V7" i="33"/>
  <c r="AW7" i="33" s="1"/>
  <c r="Y7" i="33"/>
  <c r="G7" i="33"/>
  <c r="J7" i="33" s="1"/>
  <c r="M6" i="30"/>
  <c r="AK6" i="30" s="1"/>
  <c r="S6" i="30" s="1"/>
  <c r="V6" i="30"/>
  <c r="AW6" i="30" s="1"/>
  <c r="Y6" i="30"/>
  <c r="G7" i="30"/>
  <c r="J7" i="30" s="1"/>
  <c r="Y6" i="33"/>
  <c r="M5" i="33"/>
  <c r="G5" i="30"/>
  <c r="J5" i="30" s="1"/>
  <c r="V5" i="30"/>
  <c r="Z39" i="30"/>
  <c r="AC39" i="30"/>
  <c r="AF39" i="30" s="1"/>
  <c r="V39" i="33"/>
  <c r="W39" i="31"/>
  <c r="V39" i="31"/>
  <c r="V19" i="29"/>
  <c r="H18" i="31"/>
  <c r="AR18" i="31" s="1"/>
  <c r="M17" i="31"/>
  <c r="AK17" i="31" s="1"/>
  <c r="H13" i="31"/>
  <c r="AR13" i="31" s="1"/>
  <c r="Z13" i="31"/>
  <c r="AC13" i="31"/>
  <c r="AF13" i="31" s="1"/>
  <c r="N13" i="31"/>
  <c r="AL13" i="31" s="1"/>
  <c r="N14" i="31"/>
  <c r="AL14" i="31" s="1"/>
  <c r="H14" i="31"/>
  <c r="K14" i="31" s="1"/>
  <c r="W14" i="31"/>
  <c r="AX14" i="31" s="1"/>
  <c r="AC14" i="31"/>
  <c r="AF14" i="31" s="1"/>
  <c r="Z14" i="31"/>
  <c r="AB12" i="29"/>
  <c r="AE12" i="29" s="1"/>
  <c r="Z12" i="31"/>
  <c r="V12" i="29"/>
  <c r="AN12" i="29" s="1"/>
  <c r="AT12" i="29" s="1"/>
  <c r="G11" i="31"/>
  <c r="AQ11" i="31" s="1"/>
  <c r="N11" i="31"/>
  <c r="AL11" i="31" s="1"/>
  <c r="AB12" i="31"/>
  <c r="AE12" i="31" s="1"/>
  <c r="Z8" i="31"/>
  <c r="AB8" i="31"/>
  <c r="AE8" i="31" s="1"/>
  <c r="Z7" i="31"/>
  <c r="W6" i="31"/>
  <c r="AX6" i="31" s="1"/>
  <c r="H6" i="31"/>
  <c r="AR6" i="31" s="1"/>
  <c r="N6" i="31"/>
  <c r="AL6" i="31" s="1"/>
  <c r="Z6" i="31"/>
  <c r="AI6" i="31" s="1"/>
  <c r="AC5" i="31"/>
  <c r="AF5" i="31" s="1"/>
  <c r="M22" i="28"/>
  <c r="AB16" i="28"/>
  <c r="AE16" i="28" s="1"/>
  <c r="Y9" i="28"/>
  <c r="X9" i="28"/>
  <c r="AG9" i="28" s="1"/>
  <c r="L5" i="28"/>
  <c r="O5" i="28" s="1"/>
  <c r="X5" i="28"/>
  <c r="AG5" i="28" s="1"/>
  <c r="Y13" i="33"/>
  <c r="G11" i="33"/>
  <c r="J11" i="33" s="1"/>
  <c r="G14" i="33"/>
  <c r="J14" i="33" s="1"/>
  <c r="V11" i="33"/>
  <c r="AW11" i="33" s="1"/>
  <c r="V14" i="33"/>
  <c r="AW14" i="33" s="1"/>
  <c r="G12" i="33"/>
  <c r="J12" i="33" s="1"/>
  <c r="V12" i="33"/>
  <c r="AW12" i="33" s="1"/>
  <c r="G6" i="33"/>
  <c r="J6" i="33" s="1"/>
  <c r="V6" i="33"/>
  <c r="AW6" i="33" s="1"/>
  <c r="N18" i="33"/>
  <c r="AC18" i="33"/>
  <c r="AF18" i="33" s="1"/>
  <c r="AC7" i="33"/>
  <c r="AF7" i="33" s="1"/>
  <c r="N7" i="33"/>
  <c r="AC8" i="33"/>
  <c r="AF8" i="33" s="1"/>
  <c r="N8" i="33"/>
  <c r="AC11" i="33"/>
  <c r="AF11" i="33" s="1"/>
  <c r="AX11" i="33"/>
  <c r="N11" i="33"/>
  <c r="N12" i="33"/>
  <c r="AC12" i="33"/>
  <c r="AF12" i="33" s="1"/>
  <c r="AC13" i="33"/>
  <c r="AF13" i="33" s="1"/>
  <c r="N13" i="33"/>
  <c r="N14" i="33"/>
  <c r="AC14" i="33"/>
  <c r="AF14" i="33" s="1"/>
  <c r="M17" i="33"/>
  <c r="AB17" i="33"/>
  <c r="AE17" i="33" s="1"/>
  <c r="M39" i="33"/>
  <c r="AB39" i="33"/>
  <c r="AE39" i="33" s="1"/>
  <c r="N17" i="33"/>
  <c r="AC17" i="33"/>
  <c r="AF17" i="33" s="1"/>
  <c r="AC39" i="33"/>
  <c r="AF39" i="33" s="1"/>
  <c r="N39" i="33"/>
  <c r="H6" i="33"/>
  <c r="H7" i="33"/>
  <c r="H11" i="33"/>
  <c r="H12" i="33"/>
  <c r="H13" i="33"/>
  <c r="H14" i="33"/>
  <c r="G17" i="33"/>
  <c r="G18" i="33"/>
  <c r="H17" i="33"/>
  <c r="H18" i="33"/>
  <c r="H39" i="33"/>
  <c r="W6" i="33"/>
  <c r="W11" i="33"/>
  <c r="W14" i="33"/>
  <c r="AX14" i="33" s="1"/>
  <c r="V17" i="33"/>
  <c r="V19" i="33"/>
  <c r="W17" i="33"/>
  <c r="AX17" i="33" s="1"/>
  <c r="W18" i="33"/>
  <c r="AX18" i="33" s="1"/>
  <c r="W19" i="33"/>
  <c r="AX19" i="33" s="1"/>
  <c r="W39" i="33"/>
  <c r="Z7" i="33"/>
  <c r="AI7" i="33" s="1"/>
  <c r="Z11" i="33"/>
  <c r="Z12" i="33"/>
  <c r="Z13" i="33"/>
  <c r="AI13" i="33" s="1"/>
  <c r="Z14" i="33"/>
  <c r="Y17" i="33"/>
  <c r="Z17" i="33"/>
  <c r="Z18" i="33"/>
  <c r="Z39" i="33"/>
  <c r="AB20" i="33"/>
  <c r="AE20" i="33" s="1"/>
  <c r="M20" i="33"/>
  <c r="N6" i="33"/>
  <c r="AC6" i="33"/>
  <c r="AF6" i="33" s="1"/>
  <c r="M19" i="33"/>
  <c r="AB19" i="33"/>
  <c r="AE19" i="33" s="1"/>
  <c r="N19" i="33"/>
  <c r="G19" i="33"/>
  <c r="H19" i="33"/>
  <c r="W8" i="33"/>
  <c r="AX8" i="33" s="1"/>
  <c r="W13" i="33"/>
  <c r="AX13" i="33" s="1"/>
  <c r="V20" i="33"/>
  <c r="AW20" i="33" s="1"/>
  <c r="AC5" i="33"/>
  <c r="AF5" i="33" s="1"/>
  <c r="N5" i="33"/>
  <c r="M18" i="33"/>
  <c r="AB18" i="33"/>
  <c r="AE18" i="33" s="1"/>
  <c r="G20" i="33"/>
  <c r="H20" i="33"/>
  <c r="W7" i="33"/>
  <c r="AX7" i="33" s="1"/>
  <c r="W12" i="33"/>
  <c r="AX12" i="33" s="1"/>
  <c r="H5" i="33"/>
  <c r="AB7" i="33"/>
  <c r="AE7" i="33" s="1"/>
  <c r="M7" i="33"/>
  <c r="M8" i="33"/>
  <c r="AB8" i="33"/>
  <c r="AE8" i="33" s="1"/>
  <c r="M11" i="33"/>
  <c r="AB11" i="33"/>
  <c r="AE11" i="33" s="1"/>
  <c r="AB12" i="33"/>
  <c r="AE12" i="33" s="1"/>
  <c r="M12" i="33"/>
  <c r="AB13" i="33"/>
  <c r="AE13" i="33" s="1"/>
  <c r="M13" i="33"/>
  <c r="AB14" i="33"/>
  <c r="AE14" i="33" s="1"/>
  <c r="M14" i="33"/>
  <c r="AB39" i="31"/>
  <c r="AE39" i="31" s="1"/>
  <c r="W17" i="31"/>
  <c r="AX17" i="31" s="1"/>
  <c r="N17" i="31"/>
  <c r="AL17" i="31" s="1"/>
  <c r="Z19" i="31"/>
  <c r="W13" i="31"/>
  <c r="W7" i="31"/>
  <c r="AX7" i="31" s="1"/>
  <c r="N7" i="31"/>
  <c r="AL7" i="31" s="1"/>
  <c r="N5" i="31"/>
  <c r="AL5" i="31" s="1"/>
  <c r="Y17" i="31"/>
  <c r="AH17" i="31" s="1"/>
  <c r="M18" i="31"/>
  <c r="AK18" i="31" s="1"/>
  <c r="AB17" i="31"/>
  <c r="AE17" i="31" s="1"/>
  <c r="V17" i="31"/>
  <c r="AW17" i="31" s="1"/>
  <c r="V14" i="31"/>
  <c r="AW14" i="31" s="1"/>
  <c r="G14" i="31"/>
  <c r="AQ14" i="31" s="1"/>
  <c r="M7" i="31"/>
  <c r="AK7" i="31" s="1"/>
  <c r="V6" i="31"/>
  <c r="AW6" i="31" s="1"/>
  <c r="Y7" i="31"/>
  <c r="AB6" i="31"/>
  <c r="AE6" i="31" s="1"/>
  <c r="W5" i="31"/>
  <c r="AX5" i="31" s="1"/>
  <c r="H5" i="31"/>
  <c r="AR5" i="31" s="1"/>
  <c r="Z5" i="31"/>
  <c r="AI5" i="31" s="1"/>
  <c r="AI13" i="31"/>
  <c r="AB5" i="31"/>
  <c r="AE5" i="31" s="1"/>
  <c r="AC8" i="31"/>
  <c r="AF8" i="31" s="1"/>
  <c r="AB13" i="31"/>
  <c r="AE13" i="31" s="1"/>
  <c r="H7" i="31"/>
  <c r="K7" i="31" s="1"/>
  <c r="AI11" i="31"/>
  <c r="H17" i="31"/>
  <c r="AR17" i="31" s="1"/>
  <c r="AB19" i="31"/>
  <c r="AE19" i="31" s="1"/>
  <c r="V5" i="31"/>
  <c r="AW5" i="31" s="1"/>
  <c r="V13" i="31"/>
  <c r="AW13" i="31" s="1"/>
  <c r="M6" i="31"/>
  <c r="AK6" i="31" s="1"/>
  <c r="M14" i="31"/>
  <c r="AK14" i="31" s="1"/>
  <c r="M39" i="31"/>
  <c r="AK39" i="31" s="1"/>
  <c r="G5" i="31"/>
  <c r="J5" i="31" s="1"/>
  <c r="AC7" i="31"/>
  <c r="AF7" i="31" s="1"/>
  <c r="G13" i="31"/>
  <c r="AQ13" i="31" s="1"/>
  <c r="AC17" i="31"/>
  <c r="AF17" i="31" s="1"/>
  <c r="N8" i="31"/>
  <c r="AL8" i="31" s="1"/>
  <c r="N18" i="31"/>
  <c r="AL18" i="31" s="1"/>
  <c r="Y39" i="31"/>
  <c r="M5" i="31"/>
  <c r="AK5" i="31" s="1"/>
  <c r="Y8" i="31"/>
  <c r="AH8" i="31" s="1"/>
  <c r="M13" i="31"/>
  <c r="AK13" i="31" s="1"/>
  <c r="Y18" i="31"/>
  <c r="AH18" i="31" s="1"/>
  <c r="AC19" i="31"/>
  <c r="AF19" i="31" s="1"/>
  <c r="V20" i="31"/>
  <c r="AW20" i="31" s="1"/>
  <c r="AC18" i="31"/>
  <c r="AF18" i="31" s="1"/>
  <c r="W20" i="31"/>
  <c r="AX20" i="31" s="1"/>
  <c r="V11" i="31"/>
  <c r="AW11" i="31" s="1"/>
  <c r="G12" i="31"/>
  <c r="AH14" i="31"/>
  <c r="V19" i="31"/>
  <c r="AW19" i="31" s="1"/>
  <c r="G20" i="31"/>
  <c r="W11" i="31"/>
  <c r="AX11" i="31" s="1"/>
  <c r="H12" i="31"/>
  <c r="K12" i="31" s="1"/>
  <c r="W19" i="31"/>
  <c r="AX19" i="31" s="1"/>
  <c r="H20" i="31"/>
  <c r="V8" i="31"/>
  <c r="AW8" i="31" s="1"/>
  <c r="M12" i="31"/>
  <c r="AK12" i="31" s="1"/>
  <c r="V18" i="31"/>
  <c r="AW18" i="31" s="1"/>
  <c r="G19" i="31"/>
  <c r="AQ19" i="31" s="1"/>
  <c r="M20" i="31"/>
  <c r="AK20" i="31" s="1"/>
  <c r="AC20" i="31"/>
  <c r="AF20" i="31" s="1"/>
  <c r="W8" i="31"/>
  <c r="AX8" i="31" s="1"/>
  <c r="H11" i="31"/>
  <c r="K11" i="31" s="1"/>
  <c r="N12" i="31"/>
  <c r="AL12" i="31" s="1"/>
  <c r="W18" i="31"/>
  <c r="AX18" i="31" s="1"/>
  <c r="H19" i="31"/>
  <c r="AR19" i="31" s="1"/>
  <c r="N20" i="31"/>
  <c r="AL20" i="31" s="1"/>
  <c r="G8" i="31"/>
  <c r="J8" i="31" s="1"/>
  <c r="M11" i="31"/>
  <c r="AK11" i="31" s="1"/>
  <c r="Y12" i="31"/>
  <c r="AH12" i="31" s="1"/>
  <c r="G18" i="31"/>
  <c r="AQ18" i="31" s="1"/>
  <c r="M19" i="31"/>
  <c r="AK19" i="31" s="1"/>
  <c r="Y20" i="31"/>
  <c r="AH20" i="31" s="1"/>
  <c r="V12" i="31"/>
  <c r="AW12" i="31" s="1"/>
  <c r="T8" i="31"/>
  <c r="S17" i="31"/>
  <c r="T5" i="31"/>
  <c r="AX13" i="31"/>
  <c r="AQ17" i="31"/>
  <c r="K8" i="31"/>
  <c r="K13" i="31"/>
  <c r="P8" i="31"/>
  <c r="P17" i="31"/>
  <c r="J14" i="31"/>
  <c r="Q11" i="31"/>
  <c r="Q13" i="31"/>
  <c r="Q17" i="31"/>
  <c r="Q19" i="31"/>
  <c r="M20" i="30"/>
  <c r="P20" i="30" s="1"/>
  <c r="V20" i="30"/>
  <c r="W20" i="30"/>
  <c r="Y20" i="30"/>
  <c r="AH20" i="30" s="1"/>
  <c r="Z20" i="30"/>
  <c r="AI20" i="30" s="1"/>
  <c r="M11" i="30"/>
  <c r="AK11" i="30" s="1"/>
  <c r="S11" i="30" s="1"/>
  <c r="V11" i="30"/>
  <c r="AW11" i="30" s="1"/>
  <c r="W14" i="30"/>
  <c r="W11" i="30"/>
  <c r="AX11" i="30" s="1"/>
  <c r="V17" i="30"/>
  <c r="AW17" i="30" s="1"/>
  <c r="W17" i="30"/>
  <c r="AX17" i="30" s="1"/>
  <c r="M5" i="30"/>
  <c r="AK5" i="30" s="1"/>
  <c r="Y8" i="30"/>
  <c r="V12" i="30"/>
  <c r="AW12" i="30" s="1"/>
  <c r="Z17" i="30"/>
  <c r="AI17" i="30" s="1"/>
  <c r="V19" i="30"/>
  <c r="M17" i="30"/>
  <c r="AK17" i="30" s="1"/>
  <c r="S17" i="30" s="1"/>
  <c r="W6" i="30"/>
  <c r="AX6" i="30" s="1"/>
  <c r="V8" i="30"/>
  <c r="W8" i="30"/>
  <c r="AX8" i="30" s="1"/>
  <c r="M12" i="30"/>
  <c r="AK12" i="30" s="1"/>
  <c r="Y17" i="30"/>
  <c r="W12" i="30"/>
  <c r="AX12" i="30" s="1"/>
  <c r="M14" i="30"/>
  <c r="AK14" i="30" s="1"/>
  <c r="W19" i="30"/>
  <c r="AX19" i="30" s="1"/>
  <c r="W5" i="30"/>
  <c r="AX5" i="30" s="1"/>
  <c r="M7" i="30"/>
  <c r="AK7" i="30" s="1"/>
  <c r="Y12" i="30"/>
  <c r="V14" i="30"/>
  <c r="AW14" i="30" s="1"/>
  <c r="Y19" i="30"/>
  <c r="M19" i="30"/>
  <c r="AK19" i="30" s="1"/>
  <c r="S19" i="30" s="1"/>
  <c r="M8" i="30"/>
  <c r="AK8" i="30" s="1"/>
  <c r="S8" i="30" s="1"/>
  <c r="V18" i="30"/>
  <c r="AW18" i="30" s="1"/>
  <c r="J8" i="30"/>
  <c r="AQ8" i="30"/>
  <c r="AW20" i="30"/>
  <c r="J13" i="30"/>
  <c r="AQ13" i="30"/>
  <c r="K7" i="30"/>
  <c r="J6" i="30"/>
  <c r="AQ6" i="30"/>
  <c r="J18" i="30"/>
  <c r="AQ18" i="30"/>
  <c r="J19" i="30"/>
  <c r="AQ19" i="30"/>
  <c r="J17" i="30"/>
  <c r="AQ17" i="30"/>
  <c r="K17" i="30"/>
  <c r="AW19" i="30"/>
  <c r="AW5" i="30"/>
  <c r="AX20" i="30"/>
  <c r="N20" i="30"/>
  <c r="AB5" i="30"/>
  <c r="AE5" i="30" s="1"/>
  <c r="AB6" i="30"/>
  <c r="AE6" i="30" s="1"/>
  <c r="AB7" i="30"/>
  <c r="AE7" i="30" s="1"/>
  <c r="AB8" i="30"/>
  <c r="AE8" i="30" s="1"/>
  <c r="AB11" i="30"/>
  <c r="AE11" i="30" s="1"/>
  <c r="AB12" i="30"/>
  <c r="AE12" i="30" s="1"/>
  <c r="AB13" i="30"/>
  <c r="AE13" i="30" s="1"/>
  <c r="AB14" i="30"/>
  <c r="AE14" i="30" s="1"/>
  <c r="AB17" i="30"/>
  <c r="AE17" i="30" s="1"/>
  <c r="AB18" i="30"/>
  <c r="AE18" i="30" s="1"/>
  <c r="AB19" i="30"/>
  <c r="AE19" i="30" s="1"/>
  <c r="G20" i="30"/>
  <c r="P7" i="30"/>
  <c r="P13" i="30"/>
  <c r="P18" i="30"/>
  <c r="N39" i="30"/>
  <c r="AW7" i="30"/>
  <c r="N6" i="30"/>
  <c r="AC6" i="30"/>
  <c r="AF6" i="30" s="1"/>
  <c r="N8" i="30"/>
  <c r="AC8" i="30"/>
  <c r="AF8" i="30" s="1"/>
  <c r="N12" i="30"/>
  <c r="AC12" i="30"/>
  <c r="AF12" i="30" s="1"/>
  <c r="AX14" i="30"/>
  <c r="N14" i="30"/>
  <c r="AC14" i="30"/>
  <c r="AF14" i="30" s="1"/>
  <c r="AC17" i="30"/>
  <c r="AF17" i="30" s="1"/>
  <c r="N19" i="30"/>
  <c r="H20" i="30"/>
  <c r="V39" i="30"/>
  <c r="H6" i="30"/>
  <c r="H8" i="30"/>
  <c r="H12" i="30"/>
  <c r="H14" i="30"/>
  <c r="H19" i="30"/>
  <c r="W39" i="30"/>
  <c r="S13" i="30"/>
  <c r="G39" i="30"/>
  <c r="AW13" i="30"/>
  <c r="H39" i="30"/>
  <c r="N5" i="30"/>
  <c r="AC5" i="30"/>
  <c r="AF5" i="30" s="1"/>
  <c r="AX7" i="30"/>
  <c r="N7" i="30"/>
  <c r="AC7" i="30"/>
  <c r="AF7" i="30" s="1"/>
  <c r="N11" i="30"/>
  <c r="AC11" i="30"/>
  <c r="AF11" i="30" s="1"/>
  <c r="AX13" i="30"/>
  <c r="N13" i="30"/>
  <c r="AC13" i="30"/>
  <c r="AF13" i="30" s="1"/>
  <c r="N17" i="30"/>
  <c r="AX18" i="30"/>
  <c r="N18" i="30"/>
  <c r="AC18" i="30"/>
  <c r="AF18" i="30" s="1"/>
  <c r="AC19" i="30"/>
  <c r="AF19" i="30" s="1"/>
  <c r="M39" i="30"/>
  <c r="Y39" i="30"/>
  <c r="AH39" i="30" s="1"/>
  <c r="G18" i="29"/>
  <c r="AQ18" i="29" s="1"/>
  <c r="AB18" i="29"/>
  <c r="AE18" i="29" s="1"/>
  <c r="G6" i="29"/>
  <c r="AQ6" i="29" s="1"/>
  <c r="G39" i="29"/>
  <c r="AQ39" i="29" s="1"/>
  <c r="J12" i="29"/>
  <c r="H20" i="29"/>
  <c r="K20" i="29" s="1"/>
  <c r="W5" i="29"/>
  <c r="AX5" i="29" s="1"/>
  <c r="G8" i="29"/>
  <c r="AQ8" i="29" s="1"/>
  <c r="AR5" i="29"/>
  <c r="W20" i="29"/>
  <c r="AX20" i="29" s="1"/>
  <c r="AB8" i="29"/>
  <c r="AE8" i="29" s="1"/>
  <c r="AB6" i="29"/>
  <c r="AE6" i="29" s="1"/>
  <c r="V11" i="29"/>
  <c r="H39" i="29"/>
  <c r="K39" i="29" s="1"/>
  <c r="Y39" i="29"/>
  <c r="AB14" i="29"/>
  <c r="AE14" i="29" s="1"/>
  <c r="M13" i="29"/>
  <c r="AB13" i="29"/>
  <c r="AE13" i="29" s="1"/>
  <c r="G13" i="29"/>
  <c r="N14" i="29"/>
  <c r="AC14" i="29"/>
  <c r="AF14" i="29" s="1"/>
  <c r="H14" i="29"/>
  <c r="W14" i="29"/>
  <c r="AX14" i="29" s="1"/>
  <c r="J14" i="29"/>
  <c r="N18" i="29"/>
  <c r="AC18" i="29"/>
  <c r="AF18" i="29" s="1"/>
  <c r="H18" i="29"/>
  <c r="W18" i="29"/>
  <c r="AX18" i="29" s="1"/>
  <c r="M5" i="29"/>
  <c r="G5" i="29"/>
  <c r="AB5" i="29"/>
  <c r="AE5" i="29" s="1"/>
  <c r="N6" i="29"/>
  <c r="AC6" i="29"/>
  <c r="AF6" i="29" s="1"/>
  <c r="H6" i="29"/>
  <c r="W6" i="29"/>
  <c r="V13" i="29"/>
  <c r="M7" i="29"/>
  <c r="AB7" i="29"/>
  <c r="AE7" i="29" s="1"/>
  <c r="G7" i="29"/>
  <c r="Y13" i="29"/>
  <c r="Z14" i="29"/>
  <c r="Z18" i="29"/>
  <c r="J18" i="29"/>
  <c r="V5" i="29"/>
  <c r="AW5" i="29" s="1"/>
  <c r="N8" i="29"/>
  <c r="AC8" i="29"/>
  <c r="AF8" i="29" s="1"/>
  <c r="H8" i="29"/>
  <c r="W8" i="29"/>
  <c r="J20" i="29"/>
  <c r="AQ20" i="29"/>
  <c r="AW11" i="29"/>
  <c r="M11" i="29"/>
  <c r="AB11" i="29"/>
  <c r="AE11" i="29" s="1"/>
  <c r="G11" i="29"/>
  <c r="V7" i="29"/>
  <c r="N12" i="29"/>
  <c r="AC12" i="29"/>
  <c r="AF12" i="29" s="1"/>
  <c r="H12" i="29"/>
  <c r="W12" i="29"/>
  <c r="AW17" i="29"/>
  <c r="M17" i="29"/>
  <c r="G17" i="29"/>
  <c r="AB17" i="29"/>
  <c r="AE17" i="29" s="1"/>
  <c r="Y17" i="29"/>
  <c r="AH17" i="29" s="1"/>
  <c r="Y5" i="29"/>
  <c r="Z6" i="29"/>
  <c r="AW19" i="29"/>
  <c r="M19" i="29"/>
  <c r="Y19" i="29"/>
  <c r="AX7" i="29"/>
  <c r="N7" i="29"/>
  <c r="Z7" i="29"/>
  <c r="AX11" i="29"/>
  <c r="N11" i="29"/>
  <c r="Z11" i="29"/>
  <c r="AX13" i="29"/>
  <c r="N13" i="29"/>
  <c r="Z13" i="29"/>
  <c r="AX17" i="29"/>
  <c r="N17" i="29"/>
  <c r="Z17" i="29"/>
  <c r="AX19" i="29"/>
  <c r="N19" i="29"/>
  <c r="Z19" i="29"/>
  <c r="H7" i="29"/>
  <c r="H11" i="29"/>
  <c r="H13" i="29"/>
  <c r="H17" i="29"/>
  <c r="G19" i="29"/>
  <c r="AB19" i="29"/>
  <c r="AE19" i="29" s="1"/>
  <c r="AC13" i="29"/>
  <c r="AF13" i="29" s="1"/>
  <c r="AC19" i="29"/>
  <c r="AF19" i="29" s="1"/>
  <c r="AW20" i="29"/>
  <c r="M20" i="29"/>
  <c r="N5" i="29"/>
  <c r="Z5" i="29"/>
  <c r="AC5" i="29"/>
  <c r="AF5" i="29" s="1"/>
  <c r="AC7" i="29"/>
  <c r="AF7" i="29" s="1"/>
  <c r="AC11" i="29"/>
  <c r="AF11" i="29" s="1"/>
  <c r="AC17" i="29"/>
  <c r="AF17" i="29" s="1"/>
  <c r="H19" i="29"/>
  <c r="AW6" i="29"/>
  <c r="M6" i="29"/>
  <c r="Y6" i="29"/>
  <c r="AW8" i="29"/>
  <c r="M8" i="29"/>
  <c r="Y8" i="29"/>
  <c r="M12" i="29"/>
  <c r="Y12" i="29"/>
  <c r="AH12" i="29" s="1"/>
  <c r="AW14" i="29"/>
  <c r="M14" i="29"/>
  <c r="Y14" i="29"/>
  <c r="AW18" i="29"/>
  <c r="M18" i="29"/>
  <c r="Y18" i="29"/>
  <c r="AH18" i="29" s="1"/>
  <c r="AN18" i="29" s="1"/>
  <c r="AT18" i="29" s="1"/>
  <c r="N20" i="29"/>
  <c r="AC20" i="29"/>
  <c r="AF20" i="29" s="1"/>
  <c r="AB20" i="29"/>
  <c r="AE20" i="29" s="1"/>
  <c r="AW39" i="29"/>
  <c r="M39" i="29"/>
  <c r="AX39" i="29"/>
  <c r="N39" i="29"/>
  <c r="AC39" i="29"/>
  <c r="AB39" i="29"/>
  <c r="X22" i="28"/>
  <c r="M23" i="28"/>
  <c r="P23" i="28" s="1"/>
  <c r="F22" i="28"/>
  <c r="G22" i="28"/>
  <c r="AJ25" i="28"/>
  <c r="Y17" i="28"/>
  <c r="AB17" i="28"/>
  <c r="AE17" i="28" s="1"/>
  <c r="X17" i="28"/>
  <c r="AG17" i="28" s="1"/>
  <c r="L12" i="28"/>
  <c r="AJ12" i="28" s="1"/>
  <c r="M12" i="28"/>
  <c r="AK12" i="28" s="1"/>
  <c r="F9" i="28"/>
  <c r="G9" i="28"/>
  <c r="AQ9" i="28" s="1"/>
  <c r="L9" i="28"/>
  <c r="O9" i="28" s="1"/>
  <c r="AQ30" i="28"/>
  <c r="J30" i="28"/>
  <c r="AK28" i="28"/>
  <c r="P28" i="28"/>
  <c r="F8" i="28"/>
  <c r="AP8" i="28" s="1"/>
  <c r="I15" i="28"/>
  <c r="AK5" i="28"/>
  <c r="L8" i="28"/>
  <c r="V16" i="28"/>
  <c r="AW16" i="28" s="1"/>
  <c r="G20" i="28"/>
  <c r="L21" i="28"/>
  <c r="O21" i="28" s="1"/>
  <c r="Y33" i="28"/>
  <c r="F13" i="28"/>
  <c r="AP13" i="28" s="1"/>
  <c r="U15" i="28"/>
  <c r="AV15" i="28" s="1"/>
  <c r="M21" i="28"/>
  <c r="AK21" i="28" s="1"/>
  <c r="AB23" i="28"/>
  <c r="AE23" i="28" s="1"/>
  <c r="AV24" i="28"/>
  <c r="U28" i="28"/>
  <c r="AV28" i="28" s="1"/>
  <c r="V30" i="28"/>
  <c r="AW30" i="28" s="1"/>
  <c r="X8" i="28"/>
  <c r="AB9" i="28"/>
  <c r="AE9" i="28" s="1"/>
  <c r="L13" i="28"/>
  <c r="O13" i="28" s="1"/>
  <c r="V21" i="28"/>
  <c r="AW21" i="28" s="1"/>
  <c r="AA22" i="28"/>
  <c r="AD22" i="28" s="1"/>
  <c r="V28" i="28"/>
  <c r="AW28" i="28" s="1"/>
  <c r="Y30" i="28"/>
  <c r="M6" i="28"/>
  <c r="AK6" i="28" s="1"/>
  <c r="AA8" i="28"/>
  <c r="AD8" i="28" s="1"/>
  <c r="AK9" i="28"/>
  <c r="U13" i="28"/>
  <c r="X15" i="28"/>
  <c r="AK16" i="28"/>
  <c r="S16" i="28" s="1"/>
  <c r="M20" i="28"/>
  <c r="AK20" i="28" s="1"/>
  <c r="AB21" i="28"/>
  <c r="AE21" i="28" s="1"/>
  <c r="G61" i="28"/>
  <c r="AQ61" i="28" s="1"/>
  <c r="Y28" i="28"/>
  <c r="G28" i="28"/>
  <c r="J28" i="28" s="1"/>
  <c r="V9" i="28"/>
  <c r="AW9" i="28" s="1"/>
  <c r="G21" i="28"/>
  <c r="L15" i="28"/>
  <c r="O15" i="28" s="1"/>
  <c r="AA15" i="28"/>
  <c r="AD15" i="28" s="1"/>
  <c r="V20" i="28"/>
  <c r="AW20" i="28" s="1"/>
  <c r="AJ22" i="28"/>
  <c r="AV8" i="28"/>
  <c r="AB20" i="28"/>
  <c r="AE20" i="28" s="1"/>
  <c r="AH5" i="28"/>
  <c r="L17" i="28"/>
  <c r="AJ17" i="28" s="1"/>
  <c r="F24" i="28"/>
  <c r="I24" i="28" s="1"/>
  <c r="G7" i="28"/>
  <c r="Y7" i="28"/>
  <c r="AB13" i="28"/>
  <c r="AE13" i="28" s="1"/>
  <c r="G13" i="28"/>
  <c r="Y13" i="28"/>
  <c r="V13" i="28"/>
  <c r="AJ15" i="28"/>
  <c r="R15" i="28" s="1"/>
  <c r="X29" i="28"/>
  <c r="AA29" i="28"/>
  <c r="AD29" i="28" s="1"/>
  <c r="L29" i="28"/>
  <c r="F29" i="28"/>
  <c r="AP7" i="28"/>
  <c r="I7" i="28"/>
  <c r="AW14" i="28"/>
  <c r="AB14" i="28"/>
  <c r="AE14" i="28" s="1"/>
  <c r="G14" i="28"/>
  <c r="Y14" i="28"/>
  <c r="M14" i="28"/>
  <c r="M29" i="28"/>
  <c r="V29" i="28"/>
  <c r="AB29" i="28"/>
  <c r="AE29" i="28" s="1"/>
  <c r="Y29" i="28"/>
  <c r="G29" i="28"/>
  <c r="M7" i="28"/>
  <c r="AW8" i="28"/>
  <c r="AB8" i="28"/>
  <c r="AE8" i="28" s="1"/>
  <c r="G8" i="28"/>
  <c r="M8" i="28"/>
  <c r="U20" i="28"/>
  <c r="AV20" i="28" s="1"/>
  <c r="AA20" i="28"/>
  <c r="AD20" i="28" s="1"/>
  <c r="F20" i="28"/>
  <c r="O30" i="28"/>
  <c r="AJ30" i="28"/>
  <c r="I8" i="28"/>
  <c r="M13" i="28"/>
  <c r="Y15" i="28"/>
  <c r="AW15" i="28"/>
  <c r="AB15" i="28"/>
  <c r="AE15" i="28" s="1"/>
  <c r="G15" i="28"/>
  <c r="M15" i="28"/>
  <c r="F61" i="28"/>
  <c r="U61" i="28"/>
  <c r="AV61" i="28" s="1"/>
  <c r="L61" i="28"/>
  <c r="AA61" i="28"/>
  <c r="AD61" i="28" s="1"/>
  <c r="V7" i="28"/>
  <c r="AJ16" i="28"/>
  <c r="J22" i="28"/>
  <c r="AQ22" i="28"/>
  <c r="U29" i="28"/>
  <c r="AV29" i="28" s="1"/>
  <c r="J24" i="28"/>
  <c r="AB7" i="28"/>
  <c r="AE7" i="28" s="1"/>
  <c r="F21" i="28"/>
  <c r="AA21" i="28"/>
  <c r="AD21" i="28" s="1"/>
  <c r="U21" i="28"/>
  <c r="AA33" i="28"/>
  <c r="AD33" i="28" s="1"/>
  <c r="F33" i="28"/>
  <c r="U33" i="28"/>
  <c r="AV33" i="28" s="1"/>
  <c r="L33" i="28"/>
  <c r="J9" i="28"/>
  <c r="U14" i="28"/>
  <c r="AV14" i="28" s="1"/>
  <c r="AA14" i="28"/>
  <c r="AD14" i="28" s="1"/>
  <c r="F14" i="28"/>
  <c r="X14" i="28"/>
  <c r="L14" i="28"/>
  <c r="O20" i="28"/>
  <c r="AJ20" i="28"/>
  <c r="AK22" i="28"/>
  <c r="S22" i="28" s="1"/>
  <c r="P22" i="28"/>
  <c r="J16" i="28"/>
  <c r="AQ16" i="28"/>
  <c r="Y8" i="28"/>
  <c r="AV32" i="28"/>
  <c r="X32" i="28"/>
  <c r="AG32" i="28" s="1"/>
  <c r="L32" i="28"/>
  <c r="F32" i="28"/>
  <c r="AA32" i="28"/>
  <c r="AD32" i="28" s="1"/>
  <c r="U6" i="28"/>
  <c r="L6" i="28"/>
  <c r="F6" i="28"/>
  <c r="X6" i="28"/>
  <c r="AG6" i="28" s="1"/>
  <c r="AA12" i="28"/>
  <c r="AD12" i="28" s="1"/>
  <c r="F12" i="28"/>
  <c r="U12" i="28"/>
  <c r="AV12" i="28" s="1"/>
  <c r="X20" i="28"/>
  <c r="U30" i="28"/>
  <c r="AV30" i="28" s="1"/>
  <c r="F30" i="28"/>
  <c r="AA30" i="28"/>
  <c r="AD30" i="28" s="1"/>
  <c r="X30" i="28"/>
  <c r="AG30" i="28" s="1"/>
  <c r="M32" i="28"/>
  <c r="G32" i="28"/>
  <c r="V32" i="28"/>
  <c r="AB32" i="28"/>
  <c r="AE32" i="28" s="1"/>
  <c r="X33" i="28"/>
  <c r="U7" i="28"/>
  <c r="AV7" i="28" s="1"/>
  <c r="L7" i="28"/>
  <c r="AA7" i="28"/>
  <c r="AD7" i="28" s="1"/>
  <c r="X13" i="28"/>
  <c r="AG13" i="28" s="1"/>
  <c r="AV13" i="28"/>
  <c r="J23" i="28"/>
  <c r="F28" i="28"/>
  <c r="AA28" i="28"/>
  <c r="AD28" i="28" s="1"/>
  <c r="L28" i="28"/>
  <c r="AA31" i="28"/>
  <c r="AD31" i="28" s="1"/>
  <c r="F31" i="28"/>
  <c r="L31" i="28"/>
  <c r="X31" i="28"/>
  <c r="AB12" i="28"/>
  <c r="G12" i="28"/>
  <c r="M31" i="28"/>
  <c r="AB31" i="28"/>
  <c r="AE31" i="28" s="1"/>
  <c r="G31" i="28"/>
  <c r="V31" i="28"/>
  <c r="AW31" i="28" s="1"/>
  <c r="V5" i="28"/>
  <c r="AW5" i="28"/>
  <c r="V17" i="28"/>
  <c r="F5" i="28"/>
  <c r="U5" i="28"/>
  <c r="AW6" i="28"/>
  <c r="AB6" i="28"/>
  <c r="G6" i="28"/>
  <c r="AV17" i="28"/>
  <c r="AA17" i="28"/>
  <c r="AD17" i="28" s="1"/>
  <c r="F17" i="28"/>
  <c r="O23" i="28"/>
  <c r="AJ23" i="28"/>
  <c r="AA23" i="28"/>
  <c r="AD23" i="28" s="1"/>
  <c r="U31" i="28"/>
  <c r="AV16" i="28"/>
  <c r="AA16" i="28"/>
  <c r="AD16" i="28" s="1"/>
  <c r="F16" i="28"/>
  <c r="P17" i="28"/>
  <c r="AK17" i="28"/>
  <c r="Y25" i="28"/>
  <c r="AH25" i="28" s="1"/>
  <c r="M25" i="28"/>
  <c r="V25" i="28"/>
  <c r="AW25" i="28" s="1"/>
  <c r="Y31" i="28"/>
  <c r="G5" i="28"/>
  <c r="U9" i="28"/>
  <c r="AM9" i="28" s="1"/>
  <c r="AS9" i="28" s="1"/>
  <c r="V12" i="28"/>
  <c r="AW12" i="28" s="1"/>
  <c r="G17" i="28"/>
  <c r="F23" i="28"/>
  <c r="AH24" i="28"/>
  <c r="AN24" i="28" s="1"/>
  <c r="AT24" i="28" s="1"/>
  <c r="G25" i="28"/>
  <c r="M24" i="28"/>
  <c r="AJ24" i="28"/>
  <c r="F25" i="28"/>
  <c r="X25" i="28"/>
  <c r="AA25" i="28"/>
  <c r="AD25" i="28" s="1"/>
  <c r="AB30" i="28"/>
  <c r="X24" i="28"/>
  <c r="AG24" i="28" s="1"/>
  <c r="AB28" i="28"/>
  <c r="AE28" i="28" s="1"/>
  <c r="M30" i="28"/>
  <c r="M33" i="28"/>
  <c r="AB33" i="28"/>
  <c r="AE33" i="28" s="1"/>
  <c r="G33" i="28"/>
  <c r="AB61" i="28"/>
  <c r="AE61" i="28" s="1"/>
  <c r="Y16" i="28"/>
  <c r="AH16" i="28" s="1"/>
  <c r="AW22" i="28"/>
  <c r="Y22" i="28"/>
  <c r="AH22" i="28" s="1"/>
  <c r="AN22" i="28" s="1"/>
  <c r="AT22" i="28" s="1"/>
  <c r="AA20" i="27"/>
  <c r="AD20" i="27" s="1"/>
  <c r="AA21" i="27"/>
  <c r="AD21" i="27" s="1"/>
  <c r="U12" i="27"/>
  <c r="V16" i="27"/>
  <c r="AW16" i="27" s="1"/>
  <c r="AA16" i="27"/>
  <c r="AD16" i="27" s="1"/>
  <c r="AA13" i="27"/>
  <c r="AD13" i="27" s="1"/>
  <c r="AA22" i="27"/>
  <c r="AD22" i="27" s="1"/>
  <c r="AA28" i="27"/>
  <c r="AD28" i="27" s="1"/>
  <c r="AA32" i="27"/>
  <c r="AD32" i="27" s="1"/>
  <c r="AA8" i="27"/>
  <c r="AD8" i="27" s="1"/>
  <c r="AA17" i="27"/>
  <c r="AD17" i="27" s="1"/>
  <c r="AA23" i="27"/>
  <c r="AD23" i="27" s="1"/>
  <c r="AA29" i="27"/>
  <c r="AD29" i="27" s="1"/>
  <c r="AA33" i="27"/>
  <c r="AD33" i="27" s="1"/>
  <c r="V20" i="27"/>
  <c r="AW20" i="27" s="1"/>
  <c r="AA24" i="27"/>
  <c r="AD24" i="27" s="1"/>
  <c r="AA30" i="27"/>
  <c r="AD30" i="27" s="1"/>
  <c r="AA61" i="27"/>
  <c r="AD61" i="27" s="1"/>
  <c r="AA15" i="27"/>
  <c r="AD15" i="27" s="1"/>
  <c r="M6" i="27"/>
  <c r="AB6" i="27"/>
  <c r="AE6" i="27" s="1"/>
  <c r="Y6" i="27"/>
  <c r="AH6" i="27" s="1"/>
  <c r="G6" i="27"/>
  <c r="V6" i="27"/>
  <c r="AW6" i="27" s="1"/>
  <c r="AW5" i="27"/>
  <c r="M5" i="27"/>
  <c r="AB5" i="27"/>
  <c r="AE5" i="27" s="1"/>
  <c r="Y5" i="27"/>
  <c r="G5" i="27"/>
  <c r="U5" i="27"/>
  <c r="AM5" i="27" s="1"/>
  <c r="AS5" i="27" s="1"/>
  <c r="AW7" i="27"/>
  <c r="M7" i="27"/>
  <c r="AB7" i="27"/>
  <c r="AE7" i="27" s="1"/>
  <c r="Y7" i="27"/>
  <c r="AH7" i="27" s="1"/>
  <c r="G7" i="27"/>
  <c r="AW14" i="27"/>
  <c r="M14" i="27"/>
  <c r="AB14" i="27"/>
  <c r="AE14" i="27" s="1"/>
  <c r="Y14" i="27"/>
  <c r="G14" i="27"/>
  <c r="M9" i="27"/>
  <c r="AB9" i="27"/>
  <c r="AE9" i="27" s="1"/>
  <c r="Y9" i="27"/>
  <c r="G9" i="27"/>
  <c r="AW23" i="27"/>
  <c r="AW12" i="27"/>
  <c r="M12" i="27"/>
  <c r="AB12" i="27"/>
  <c r="AE12" i="27" s="1"/>
  <c r="Y12" i="27"/>
  <c r="AH12" i="27" s="1"/>
  <c r="G12" i="27"/>
  <c r="AW13" i="27"/>
  <c r="M13" i="27"/>
  <c r="AB13" i="27"/>
  <c r="AE13" i="27" s="1"/>
  <c r="Y13" i="27"/>
  <c r="AH13" i="27" s="1"/>
  <c r="G13" i="27"/>
  <c r="AN13" i="27" s="1"/>
  <c r="AT13" i="27" s="1"/>
  <c r="L5" i="27"/>
  <c r="X5" i="27"/>
  <c r="AG5" i="27" s="1"/>
  <c r="F5" i="27"/>
  <c r="V9" i="27"/>
  <c r="M8" i="27"/>
  <c r="AB8" i="27"/>
  <c r="AE8" i="27" s="1"/>
  <c r="Y8" i="27"/>
  <c r="G8" i="27"/>
  <c r="V5" i="27"/>
  <c r="AA6" i="27"/>
  <c r="AD6" i="27" s="1"/>
  <c r="AV6" i="27"/>
  <c r="L6" i="27"/>
  <c r="X6" i="27"/>
  <c r="AG6" i="27" s="1"/>
  <c r="F6" i="27"/>
  <c r="V8" i="27"/>
  <c r="AW8" i="27" s="1"/>
  <c r="V22" i="27"/>
  <c r="AW22" i="27" s="1"/>
  <c r="V24" i="27"/>
  <c r="AW24" i="27" s="1"/>
  <c r="V25" i="27"/>
  <c r="V29" i="27"/>
  <c r="V32" i="27"/>
  <c r="AW32" i="27" s="1"/>
  <c r="F7" i="27"/>
  <c r="X7" i="27"/>
  <c r="AG7" i="27" s="1"/>
  <c r="AM7" i="27" s="1"/>
  <c r="AS7" i="27" s="1"/>
  <c r="F8" i="27"/>
  <c r="X8" i="27"/>
  <c r="AG8" i="27" s="1"/>
  <c r="F9" i="27"/>
  <c r="X9" i="27"/>
  <c r="AG9" i="27" s="1"/>
  <c r="F12" i="27"/>
  <c r="AM12" i="27" s="1"/>
  <c r="AS12" i="27" s="1"/>
  <c r="X12" i="27"/>
  <c r="AG12" i="27" s="1"/>
  <c r="F13" i="27"/>
  <c r="X13" i="27"/>
  <c r="AG13" i="27" s="1"/>
  <c r="F14" i="27"/>
  <c r="AM14" i="27" s="1"/>
  <c r="AS14" i="27" s="1"/>
  <c r="X14" i="27"/>
  <c r="AG14" i="27" s="1"/>
  <c r="F15" i="27"/>
  <c r="X15" i="27"/>
  <c r="AG15" i="27" s="1"/>
  <c r="F16" i="27"/>
  <c r="X16" i="27"/>
  <c r="AG16" i="27" s="1"/>
  <c r="F17" i="27"/>
  <c r="X17" i="27"/>
  <c r="F20" i="27"/>
  <c r="X20" i="27"/>
  <c r="AG20" i="27" s="1"/>
  <c r="F21" i="27"/>
  <c r="X21" i="27"/>
  <c r="AG21" i="27" s="1"/>
  <c r="F22" i="27"/>
  <c r="X22" i="27"/>
  <c r="AG22" i="27" s="1"/>
  <c r="F23" i="27"/>
  <c r="X23" i="27"/>
  <c r="F24" i="27"/>
  <c r="X24" i="27"/>
  <c r="AG24" i="27" s="1"/>
  <c r="F25" i="27"/>
  <c r="X25" i="27"/>
  <c r="AG25" i="27" s="1"/>
  <c r="F28" i="27"/>
  <c r="X28" i="27"/>
  <c r="F29" i="27"/>
  <c r="X29" i="27"/>
  <c r="F30" i="27"/>
  <c r="X30" i="27"/>
  <c r="F31" i="27"/>
  <c r="AM31" i="27" s="1"/>
  <c r="AS31" i="27" s="1"/>
  <c r="X31" i="27"/>
  <c r="AG31" i="27" s="1"/>
  <c r="F32" i="27"/>
  <c r="X32" i="27"/>
  <c r="AG32" i="27" s="1"/>
  <c r="F33" i="27"/>
  <c r="X33" i="27"/>
  <c r="AG33" i="27" s="1"/>
  <c r="F61" i="27"/>
  <c r="X61" i="27"/>
  <c r="V17" i="27"/>
  <c r="AW17" i="27" s="1"/>
  <c r="V21" i="27"/>
  <c r="V23" i="27"/>
  <c r="V28" i="27"/>
  <c r="AW28" i="27" s="1"/>
  <c r="V30" i="27"/>
  <c r="AW30" i="27" s="1"/>
  <c r="V31" i="27"/>
  <c r="AW31" i="27" s="1"/>
  <c r="V33" i="27"/>
  <c r="AW33" i="27" s="1"/>
  <c r="G15" i="27"/>
  <c r="Y15" i="27"/>
  <c r="G16" i="27"/>
  <c r="Y16" i="27"/>
  <c r="G17" i="27"/>
  <c r="Y17" i="27"/>
  <c r="G20" i="27"/>
  <c r="Y20" i="27"/>
  <c r="G21" i="27"/>
  <c r="Y21" i="27"/>
  <c r="G22" i="27"/>
  <c r="Y22" i="27"/>
  <c r="G23" i="27"/>
  <c r="Y23" i="27"/>
  <c r="AH23" i="27" s="1"/>
  <c r="G24" i="27"/>
  <c r="Y24" i="27"/>
  <c r="G25" i="27"/>
  <c r="Y25" i="27"/>
  <c r="AH25" i="27" s="1"/>
  <c r="G28" i="27"/>
  <c r="Y28" i="27"/>
  <c r="G29" i="27"/>
  <c r="Y29" i="27"/>
  <c r="G30" i="27"/>
  <c r="Y30" i="27"/>
  <c r="AH30" i="27" s="1"/>
  <c r="G31" i="27"/>
  <c r="Y31" i="27"/>
  <c r="AH31" i="27" s="1"/>
  <c r="G32" i="27"/>
  <c r="Y32" i="27"/>
  <c r="G33" i="27"/>
  <c r="Y33" i="27"/>
  <c r="G61" i="27"/>
  <c r="Y61" i="27"/>
  <c r="AB15" i="27"/>
  <c r="AE15" i="27" s="1"/>
  <c r="AB16" i="27"/>
  <c r="AE16" i="27" s="1"/>
  <c r="AB17" i="27"/>
  <c r="AE17" i="27" s="1"/>
  <c r="AB20" i="27"/>
  <c r="AE20" i="27" s="1"/>
  <c r="AB21" i="27"/>
  <c r="AE21" i="27" s="1"/>
  <c r="AB22" i="27"/>
  <c r="AE22" i="27" s="1"/>
  <c r="AB23" i="27"/>
  <c r="AE23" i="27" s="1"/>
  <c r="AB24" i="27"/>
  <c r="AE24" i="27" s="1"/>
  <c r="AB25" i="27"/>
  <c r="AE25" i="27" s="1"/>
  <c r="AB28" i="27"/>
  <c r="AE28" i="27" s="1"/>
  <c r="AB29" i="27"/>
  <c r="AE29" i="27" s="1"/>
  <c r="AB30" i="27"/>
  <c r="AE30" i="27" s="1"/>
  <c r="AB31" i="27"/>
  <c r="AE31" i="27" s="1"/>
  <c r="AB32" i="27"/>
  <c r="AE32" i="27" s="1"/>
  <c r="AB33" i="27"/>
  <c r="AE33" i="27" s="1"/>
  <c r="AB61" i="27"/>
  <c r="AE61" i="27" s="1"/>
  <c r="L7" i="27"/>
  <c r="AV7" i="27"/>
  <c r="L8" i="27"/>
  <c r="AV8" i="27"/>
  <c r="L9" i="27"/>
  <c r="AV9" i="27"/>
  <c r="L12" i="27"/>
  <c r="AV12" i="27"/>
  <c r="L13" i="27"/>
  <c r="AV13" i="27"/>
  <c r="L14" i="27"/>
  <c r="AV14" i="27"/>
  <c r="L15" i="27"/>
  <c r="AV15" i="27"/>
  <c r="L16" i="27"/>
  <c r="AV16" i="27"/>
  <c r="L17" i="27"/>
  <c r="AV17" i="27"/>
  <c r="L20" i="27"/>
  <c r="AV20" i="27"/>
  <c r="L21" i="27"/>
  <c r="AV21" i="27"/>
  <c r="L22" i="27"/>
  <c r="AV22" i="27"/>
  <c r="L23" i="27"/>
  <c r="AV23" i="27"/>
  <c r="L24" i="27"/>
  <c r="AV24" i="27"/>
  <c r="L25" i="27"/>
  <c r="AV25" i="27"/>
  <c r="L28" i="27"/>
  <c r="AV28" i="27"/>
  <c r="L29" i="27"/>
  <c r="AV29" i="27"/>
  <c r="L30" i="27"/>
  <c r="AV30" i="27"/>
  <c r="L31" i="27"/>
  <c r="AV31" i="27"/>
  <c r="L32" i="27"/>
  <c r="AV32" i="27"/>
  <c r="L33" i="27"/>
  <c r="AV33" i="27"/>
  <c r="L61" i="27"/>
  <c r="AA7" i="27"/>
  <c r="AD7" i="27" s="1"/>
  <c r="M15" i="27"/>
  <c r="AW15" i="27"/>
  <c r="M16" i="27"/>
  <c r="M17" i="27"/>
  <c r="M20" i="27"/>
  <c r="M21" i="27"/>
  <c r="M22" i="27"/>
  <c r="M23" i="27"/>
  <c r="M24" i="27"/>
  <c r="M25" i="27"/>
  <c r="M28" i="27"/>
  <c r="M29" i="27"/>
  <c r="M30" i="27"/>
  <c r="M31" i="27"/>
  <c r="M32" i="27"/>
  <c r="M33" i="27"/>
  <c r="M61" i="27"/>
  <c r="AW61" i="27"/>
  <c r="AZ6" i="26"/>
  <c r="BC6" i="26" s="1"/>
  <c r="AM14" i="26"/>
  <c r="AS31" i="26"/>
  <c r="AY31" i="26"/>
  <c r="BB31" i="26" s="1"/>
  <c r="AJ61" i="26"/>
  <c r="R61" i="26" s="1"/>
  <c r="O61" i="26"/>
  <c r="AN5" i="26"/>
  <c r="AT5" i="26" s="1"/>
  <c r="AN14" i="26"/>
  <c r="AT31" i="26"/>
  <c r="AZ31" i="26"/>
  <c r="BC31" i="26" s="1"/>
  <c r="AK61" i="26"/>
  <c r="S61" i="26" s="1"/>
  <c r="P61" i="26"/>
  <c r="AZ7" i="26"/>
  <c r="BC7" i="26" s="1"/>
  <c r="AG16" i="26"/>
  <c r="AD6" i="26"/>
  <c r="AH8" i="26"/>
  <c r="AE6" i="26"/>
  <c r="J15" i="26"/>
  <c r="AZ15" i="26" s="1"/>
  <c r="BC15" i="26" s="1"/>
  <c r="AQ15" i="26"/>
  <c r="O8" i="26"/>
  <c r="R15" i="26"/>
  <c r="I23" i="26"/>
  <c r="AP23" i="26"/>
  <c r="AM23" i="26"/>
  <c r="AS23" i="26" s="1"/>
  <c r="AV25" i="26"/>
  <c r="P29" i="26"/>
  <c r="S15" i="26"/>
  <c r="I20" i="26"/>
  <c r="AY20" i="26" s="1"/>
  <c r="BB20" i="26" s="1"/>
  <c r="AP20" i="26"/>
  <c r="AN25" i="26"/>
  <c r="AT25" i="26" s="1"/>
  <c r="AW25" i="26"/>
  <c r="AM28" i="26"/>
  <c r="AS28" i="26" s="1"/>
  <c r="AJ29" i="26"/>
  <c r="R29" i="26" s="1"/>
  <c r="AS30" i="26"/>
  <c r="R33" i="26"/>
  <c r="AK6" i="26"/>
  <c r="S6" i="26" s="1"/>
  <c r="P6" i="26"/>
  <c r="J13" i="26"/>
  <c r="AZ13" i="26" s="1"/>
  <c r="BC13" i="26" s="1"/>
  <c r="O15" i="26"/>
  <c r="AM15" i="26"/>
  <c r="AS15" i="26" s="1"/>
  <c r="AJ23" i="26"/>
  <c r="R23" i="26" s="1"/>
  <c r="O23" i="26"/>
  <c r="AT30" i="26"/>
  <c r="J33" i="26"/>
  <c r="AP5" i="26"/>
  <c r="O6" i="26"/>
  <c r="AY12" i="26"/>
  <c r="BB12" i="26" s="1"/>
  <c r="R13" i="26"/>
  <c r="P15" i="26"/>
  <c r="AN15" i="26"/>
  <c r="AT15" i="26" s="1"/>
  <c r="AV16" i="26"/>
  <c r="AM16" i="26"/>
  <c r="AS16" i="26" s="1"/>
  <c r="AG32" i="26"/>
  <c r="AM32" i="26" s="1"/>
  <c r="AS32" i="26" s="1"/>
  <c r="AM6" i="26"/>
  <c r="AS6" i="26" s="1"/>
  <c r="AK13" i="26"/>
  <c r="S13" i="26" s="1"/>
  <c r="P13" i="26"/>
  <c r="AP15" i="26"/>
  <c r="AW16" i="26"/>
  <c r="AN16" i="26"/>
  <c r="AT16" i="26" s="1"/>
  <c r="AH32" i="26"/>
  <c r="AN32" i="26" s="1"/>
  <c r="AT32" i="26" s="1"/>
  <c r="AQ8" i="26"/>
  <c r="AN8" i="26"/>
  <c r="AT8" i="26" s="1"/>
  <c r="S8" i="26"/>
  <c r="AG9" i="26"/>
  <c r="AM9" i="26" s="1"/>
  <c r="AS9" i="26" s="1"/>
  <c r="AD9" i="26"/>
  <c r="AN6" i="26"/>
  <c r="AT6" i="26" s="1"/>
  <c r="AH12" i="26"/>
  <c r="AN12" i="26" s="1"/>
  <c r="AT12" i="26" s="1"/>
  <c r="O13" i="26"/>
  <c r="AM20" i="26"/>
  <c r="AS20" i="26" s="1"/>
  <c r="AQ21" i="26"/>
  <c r="J21" i="26"/>
  <c r="AZ21" i="26" s="1"/>
  <c r="BC21" i="26" s="1"/>
  <c r="O28" i="26"/>
  <c r="AP61" i="26"/>
  <c r="I61" i="26"/>
  <c r="AY61" i="26" s="1"/>
  <c r="BB61" i="26" s="1"/>
  <c r="AH61" i="26"/>
  <c r="AN61" i="26" s="1"/>
  <c r="AT61" i="26" s="1"/>
  <c r="AE16" i="26"/>
  <c r="AH16" i="26"/>
  <c r="AY5" i="26"/>
  <c r="BB5" i="26" s="1"/>
  <c r="I13" i="26"/>
  <c r="J23" i="26"/>
  <c r="AQ23" i="26"/>
  <c r="AN23" i="26"/>
  <c r="AT23" i="26" s="1"/>
  <c r="I33" i="26"/>
  <c r="AN28" i="26"/>
  <c r="AT28" i="26" s="1"/>
  <c r="S33" i="26"/>
  <c r="AY32" i="26"/>
  <c r="BB32" i="26" s="1"/>
  <c r="AP8" i="26"/>
  <c r="AM8" i="26"/>
  <c r="AQ9" i="26"/>
  <c r="J9" i="26"/>
  <c r="AZ9" i="26" s="1"/>
  <c r="BC9" i="26" s="1"/>
  <c r="AP17" i="26"/>
  <c r="I17" i="26"/>
  <c r="AY17" i="26" s="1"/>
  <c r="BB17" i="26" s="1"/>
  <c r="AN20" i="26"/>
  <c r="AT20" i="26" s="1"/>
  <c r="I21" i="26"/>
  <c r="AY21" i="26" s="1"/>
  <c r="BB21" i="26" s="1"/>
  <c r="AJ25" i="26"/>
  <c r="R25" i="26" s="1"/>
  <c r="P28" i="26"/>
  <c r="J61" i="26"/>
  <c r="AQ61" i="26"/>
  <c r="AM61" i="26"/>
  <c r="AS61" i="26" s="1"/>
  <c r="J17" i="26"/>
  <c r="AZ17" i="26" s="1"/>
  <c r="BC17" i="26" s="1"/>
  <c r="S23" i="26"/>
  <c r="R17" i="26"/>
  <c r="R20" i="26"/>
  <c r="AM22" i="26"/>
  <c r="O30" i="26"/>
  <c r="BK61" i="26"/>
  <c r="BN61" i="26" s="1"/>
  <c r="S17" i="26"/>
  <c r="S20" i="26"/>
  <c r="AN22" i="26"/>
  <c r="P23" i="26"/>
  <c r="P30" i="26"/>
  <c r="AV61" i="26"/>
  <c r="O20" i="26"/>
  <c r="AG24" i="26"/>
  <c r="AM24" i="26" s="1"/>
  <c r="AY28" i="26"/>
  <c r="BB28" i="26" s="1"/>
  <c r="I29" i="26"/>
  <c r="AY29" i="26" s="1"/>
  <c r="BB29" i="26" s="1"/>
  <c r="R31" i="26"/>
  <c r="AG33" i="26"/>
  <c r="AM33" i="26" s="1"/>
  <c r="AS33" i="26" s="1"/>
  <c r="AV33" i="26"/>
  <c r="S5" i="26"/>
  <c r="O9" i="26"/>
  <c r="P20" i="26"/>
  <c r="AQ20" i="26"/>
  <c r="AH24" i="26"/>
  <c r="AN24" i="26" s="1"/>
  <c r="J29" i="26"/>
  <c r="AZ29" i="26" s="1"/>
  <c r="BC29" i="26" s="1"/>
  <c r="S31" i="26"/>
  <c r="AH33" i="26"/>
  <c r="AN33" i="26" s="1"/>
  <c r="AT33" i="26" s="1"/>
  <c r="AW33" i="26"/>
  <c r="AM13" i="26"/>
  <c r="AS13" i="26" s="1"/>
  <c r="AM21" i="26"/>
  <c r="AS21" i="26" s="1"/>
  <c r="AM29" i="26"/>
  <c r="AS29" i="26" s="1"/>
  <c r="AH9" i="26"/>
  <c r="AN9" i="26" s="1"/>
  <c r="AT9" i="26" s="1"/>
  <c r="S12" i="26"/>
  <c r="AN13" i="26"/>
  <c r="AT13" i="26" s="1"/>
  <c r="AN21" i="26"/>
  <c r="AT21" i="26" s="1"/>
  <c r="AN29" i="26"/>
  <c r="AT29" i="26" s="1"/>
  <c r="AI6" i="38" l="1"/>
  <c r="AX7" i="35"/>
  <c r="AZ7" i="35" s="1"/>
  <c r="BB7" i="35" s="1"/>
  <c r="AU7" i="35"/>
  <c r="D33" i="36"/>
  <c r="K12" i="35" s="1"/>
  <c r="K12" i="34"/>
  <c r="AI5" i="38"/>
  <c r="AO5" i="38" s="1"/>
  <c r="AU5" i="38" s="1"/>
  <c r="K5" i="38"/>
  <c r="AR5" i="38"/>
  <c r="AC5" i="40"/>
  <c r="AF5" i="40" s="1"/>
  <c r="H5" i="40"/>
  <c r="W5" i="40"/>
  <c r="N5" i="40"/>
  <c r="Z5" i="40"/>
  <c r="AI5" i="40" s="1"/>
  <c r="AX5" i="40"/>
  <c r="AR6" i="38"/>
  <c r="K6" i="38"/>
  <c r="Q6" i="38"/>
  <c r="AL6" i="38"/>
  <c r="T6" i="38" s="1"/>
  <c r="AO6" i="38"/>
  <c r="AU6" i="38" s="1"/>
  <c r="Q5" i="38"/>
  <c r="AL5" i="38"/>
  <c r="T5" i="38" s="1"/>
  <c r="W6" i="40"/>
  <c r="AX6" i="40" s="1"/>
  <c r="Z6" i="40"/>
  <c r="AC6" i="40"/>
  <c r="AF6" i="40" s="1"/>
  <c r="N6" i="40"/>
  <c r="H6" i="40"/>
  <c r="S20" i="34"/>
  <c r="S36" i="34"/>
  <c r="S28" i="34"/>
  <c r="K20" i="34"/>
  <c r="K36" i="34"/>
  <c r="AE12" i="34"/>
  <c r="AO12" i="34"/>
  <c r="K28" i="34"/>
  <c r="AB33" i="37"/>
  <c r="AE33" i="37" s="1"/>
  <c r="M33" i="37"/>
  <c r="U12" i="34" s="1"/>
  <c r="V33" i="37"/>
  <c r="G33" i="37"/>
  <c r="Y33" i="37"/>
  <c r="K28" i="35"/>
  <c r="AE12" i="35"/>
  <c r="K20" i="35"/>
  <c r="AO12" i="35"/>
  <c r="K36" i="35"/>
  <c r="V61" i="28"/>
  <c r="AW61" i="28" s="1"/>
  <c r="Y61" i="28"/>
  <c r="AI39" i="30"/>
  <c r="AQ12" i="33"/>
  <c r="T18" i="31"/>
  <c r="K18" i="31"/>
  <c r="Q18" i="31"/>
  <c r="AQ7" i="30"/>
  <c r="AR39" i="29"/>
  <c r="AM20" i="27"/>
  <c r="AS20" i="27" s="1"/>
  <c r="AJ9" i="28"/>
  <c r="R9" i="28" s="1"/>
  <c r="P12" i="28"/>
  <c r="S9" i="28"/>
  <c r="S6" i="28"/>
  <c r="K18" i="30"/>
  <c r="S7" i="30"/>
  <c r="P14" i="30"/>
  <c r="K11" i="30"/>
  <c r="AH19" i="30"/>
  <c r="P17" i="30"/>
  <c r="AQ14" i="30"/>
  <c r="S14" i="30"/>
  <c r="AH7" i="30"/>
  <c r="AN7" i="30" s="1"/>
  <c r="AT7" i="30" s="1"/>
  <c r="AQ5" i="30"/>
  <c r="P6" i="30"/>
  <c r="AI8" i="33"/>
  <c r="AH14" i="33"/>
  <c r="AN14" i="33" s="1"/>
  <c r="AZ14" i="33" s="1"/>
  <c r="BC14" i="33" s="1"/>
  <c r="AQ7" i="33"/>
  <c r="T14" i="31"/>
  <c r="P14" i="31"/>
  <c r="AO13" i="31"/>
  <c r="AU13" i="31" s="1"/>
  <c r="AR14" i="31"/>
  <c r="Q14" i="31"/>
  <c r="Q5" i="31"/>
  <c r="K5" i="31"/>
  <c r="T6" i="31"/>
  <c r="Q6" i="31"/>
  <c r="AO6" i="31"/>
  <c r="AU6" i="31" s="1"/>
  <c r="S5" i="30"/>
  <c r="N20" i="33"/>
  <c r="AL20" i="33" s="1"/>
  <c r="T20" i="33" s="1"/>
  <c r="W20" i="33"/>
  <c r="AX20" i="33" s="1"/>
  <c r="AO20" i="30"/>
  <c r="AU20" i="30" s="1"/>
  <c r="AC20" i="33"/>
  <c r="AF20" i="33" s="1"/>
  <c r="AC19" i="33"/>
  <c r="AI18" i="33"/>
  <c r="AO18" i="33" s="1"/>
  <c r="AU18" i="33" s="1"/>
  <c r="K13" i="30"/>
  <c r="AI11" i="33"/>
  <c r="AO11" i="33" s="1"/>
  <c r="AU11" i="33" s="1"/>
  <c r="AI14" i="30"/>
  <c r="H8" i="33"/>
  <c r="AO8" i="33" s="1"/>
  <c r="AU8" i="33" s="1"/>
  <c r="K5" i="30"/>
  <c r="AI5" i="33"/>
  <c r="AN19" i="30"/>
  <c r="AT19" i="30" s="1"/>
  <c r="AN20" i="30"/>
  <c r="AT20" i="30" s="1"/>
  <c r="V18" i="33"/>
  <c r="AW18" i="33" s="1"/>
  <c r="AQ12" i="30"/>
  <c r="AQ14" i="33"/>
  <c r="AQ11" i="30"/>
  <c r="V13" i="33"/>
  <c r="AW13" i="33" s="1"/>
  <c r="G13" i="33"/>
  <c r="S12" i="30"/>
  <c r="AQ11" i="33"/>
  <c r="AQ6" i="33"/>
  <c r="G8" i="33"/>
  <c r="Y8" i="33"/>
  <c r="AH8" i="33" s="1"/>
  <c r="V8" i="33"/>
  <c r="AW8" i="33" s="1"/>
  <c r="M6" i="33"/>
  <c r="P6" i="33" s="1"/>
  <c r="AB6" i="33"/>
  <c r="AE6" i="33" s="1"/>
  <c r="P5" i="30"/>
  <c r="Y5" i="33"/>
  <c r="G5" i="33"/>
  <c r="V5" i="33"/>
  <c r="AW5" i="33" s="1"/>
  <c r="AB5" i="33"/>
  <c r="AE5" i="33" s="1"/>
  <c r="Y39" i="33"/>
  <c r="AH39" i="33" s="1"/>
  <c r="G39" i="33"/>
  <c r="J39" i="33" s="1"/>
  <c r="G39" i="31"/>
  <c r="AQ39" i="31" s="1"/>
  <c r="AW39" i="31"/>
  <c r="H39" i="31"/>
  <c r="AR39" i="31" s="1"/>
  <c r="N39" i="31"/>
  <c r="AL39" i="31" s="1"/>
  <c r="T39" i="31" s="1"/>
  <c r="AX39" i="31"/>
  <c r="Z39" i="31"/>
  <c r="AC39" i="31"/>
  <c r="AF39" i="31" s="1"/>
  <c r="J39" i="29"/>
  <c r="P18" i="31"/>
  <c r="AW12" i="29"/>
  <c r="W12" i="31"/>
  <c r="AX12" i="31" s="1"/>
  <c r="S14" i="31"/>
  <c r="AC12" i="31"/>
  <c r="AF12" i="31" s="1"/>
  <c r="AI14" i="31"/>
  <c r="AO14" i="31" s="1"/>
  <c r="AU14" i="31" s="1"/>
  <c r="T13" i="31"/>
  <c r="AH14" i="29"/>
  <c r="AN14" i="29" s="1"/>
  <c r="AT14" i="29" s="1"/>
  <c r="Y11" i="31"/>
  <c r="AB11" i="31"/>
  <c r="AE11" i="31" s="1"/>
  <c r="AH7" i="29"/>
  <c r="AB7" i="31"/>
  <c r="AE7" i="31" s="1"/>
  <c r="G7" i="31"/>
  <c r="S7" i="31" s="1"/>
  <c r="V7" i="31"/>
  <c r="K6" i="31"/>
  <c r="BA6" i="31" s="1"/>
  <c r="BD6" i="31" s="1"/>
  <c r="G6" i="31"/>
  <c r="S6" i="31" s="1"/>
  <c r="Y6" i="31"/>
  <c r="AH6" i="31" s="1"/>
  <c r="AO5" i="31"/>
  <c r="AU5" i="31" s="1"/>
  <c r="AH33" i="28"/>
  <c r="AN33" i="28" s="1"/>
  <c r="AT33" i="28" s="1"/>
  <c r="AH31" i="28"/>
  <c r="AN31" i="28" s="1"/>
  <c r="AT31" i="28" s="1"/>
  <c r="AK23" i="28"/>
  <c r="S23" i="28" s="1"/>
  <c r="R22" i="28"/>
  <c r="R24" i="28"/>
  <c r="AH21" i="28"/>
  <c r="AH17" i="28"/>
  <c r="AN17" i="28" s="1"/>
  <c r="AT17" i="28" s="1"/>
  <c r="AG14" i="28"/>
  <c r="AG16" i="28"/>
  <c r="AJ13" i="28"/>
  <c r="R13" i="28" s="1"/>
  <c r="AH14" i="28"/>
  <c r="AH13" i="28"/>
  <c r="AN13" i="28" s="1"/>
  <c r="AT13" i="28" s="1"/>
  <c r="P6" i="28"/>
  <c r="AH8" i="28"/>
  <c r="S5" i="28"/>
  <c r="AJ5" i="28"/>
  <c r="R5" i="28" s="1"/>
  <c r="AH39" i="31"/>
  <c r="AN39" i="30"/>
  <c r="AT39" i="30" s="1"/>
  <c r="AH19" i="33"/>
  <c r="AN19" i="33" s="1"/>
  <c r="AT19" i="33" s="1"/>
  <c r="AH17" i="33"/>
  <c r="AN17" i="33" s="1"/>
  <c r="AT17" i="33" s="1"/>
  <c r="AK13" i="33"/>
  <c r="P13" i="33"/>
  <c r="AL19" i="33"/>
  <c r="T19" i="33" s="1"/>
  <c r="Q19" i="33"/>
  <c r="AH20" i="33"/>
  <c r="AL14" i="33"/>
  <c r="T14" i="33" s="1"/>
  <c r="Q14" i="33"/>
  <c r="K14" i="33"/>
  <c r="AR14" i="33"/>
  <c r="AI39" i="33"/>
  <c r="AO39" i="33" s="1"/>
  <c r="AU39" i="33" s="1"/>
  <c r="K5" i="33"/>
  <c r="AR5" i="33"/>
  <c r="AK18" i="33"/>
  <c r="S18" i="33" s="1"/>
  <c r="P18" i="33"/>
  <c r="AN20" i="33"/>
  <c r="AT20" i="33" s="1"/>
  <c r="K12" i="33"/>
  <c r="AR12" i="33"/>
  <c r="AH18" i="33"/>
  <c r="AK7" i="33"/>
  <c r="S7" i="33" s="1"/>
  <c r="P7" i="33"/>
  <c r="AL8" i="33"/>
  <c r="Q8" i="33"/>
  <c r="AH7" i="33"/>
  <c r="AN7" i="33" s="1"/>
  <c r="AK12" i="33"/>
  <c r="S12" i="33" s="1"/>
  <c r="P12" i="33"/>
  <c r="AL5" i="33"/>
  <c r="T5" i="33" s="1"/>
  <c r="Q5" i="33"/>
  <c r="AK5" i="33"/>
  <c r="P5" i="33"/>
  <c r="AL17" i="33"/>
  <c r="T17" i="33" s="1"/>
  <c r="Q17" i="33"/>
  <c r="AL7" i="33"/>
  <c r="T7" i="33" s="1"/>
  <c r="Q7" i="33"/>
  <c r="K13" i="33"/>
  <c r="AR13" i="33"/>
  <c r="AO13" i="33"/>
  <c r="AU13" i="33" s="1"/>
  <c r="AK19" i="33"/>
  <c r="S19" i="33" s="1"/>
  <c r="P19" i="33"/>
  <c r="AI17" i="33"/>
  <c r="AO17" i="33" s="1"/>
  <c r="AU17" i="33" s="1"/>
  <c r="K11" i="33"/>
  <c r="AR11" i="33"/>
  <c r="AW39" i="33"/>
  <c r="AL13" i="33"/>
  <c r="T13" i="33" s="1"/>
  <c r="Q13" i="33"/>
  <c r="AK11" i="33"/>
  <c r="S11" i="33" s="1"/>
  <c r="P11" i="33"/>
  <c r="AW19" i="33"/>
  <c r="AL12" i="33"/>
  <c r="T12" i="33" s="1"/>
  <c r="Q12" i="33"/>
  <c r="AI6" i="33"/>
  <c r="AO6" i="33" s="1"/>
  <c r="AU6" i="33" s="1"/>
  <c r="J18" i="33"/>
  <c r="AQ18" i="33"/>
  <c r="AK14" i="33"/>
  <c r="S14" i="33" s="1"/>
  <c r="P14" i="33"/>
  <c r="AO7" i="33"/>
  <c r="AU7" i="33" s="1"/>
  <c r="K7" i="33"/>
  <c r="AR7" i="33"/>
  <c r="AK39" i="33"/>
  <c r="P39" i="33"/>
  <c r="AL18" i="33"/>
  <c r="T18" i="33" s="1"/>
  <c r="Q18" i="33"/>
  <c r="K20" i="33"/>
  <c r="AR20" i="33"/>
  <c r="K19" i="33"/>
  <c r="AR19" i="33"/>
  <c r="AL6" i="33"/>
  <c r="T6" i="33" s="1"/>
  <c r="Q6" i="33"/>
  <c r="AI14" i="33"/>
  <c r="AO14" i="33" s="1"/>
  <c r="AU14" i="33" s="1"/>
  <c r="AH13" i="33"/>
  <c r="K39" i="33"/>
  <c r="AR39" i="33"/>
  <c r="K6" i="33"/>
  <c r="AR6" i="33"/>
  <c r="AL11" i="33"/>
  <c r="T11" i="33" s="1"/>
  <c r="Q11" i="33"/>
  <c r="AK8" i="33"/>
  <c r="P8" i="33"/>
  <c r="J20" i="33"/>
  <c r="AQ20" i="33"/>
  <c r="J19" i="33"/>
  <c r="AQ19" i="33"/>
  <c r="AX6" i="33"/>
  <c r="AH12" i="33"/>
  <c r="AN12" i="33" s="1"/>
  <c r="K18" i="33"/>
  <c r="AR18" i="33"/>
  <c r="AL39" i="33"/>
  <c r="T39" i="33" s="1"/>
  <c r="Q39" i="33"/>
  <c r="AK17" i="33"/>
  <c r="S17" i="33" s="1"/>
  <c r="P17" i="33"/>
  <c r="AI20" i="33"/>
  <c r="J17" i="33"/>
  <c r="AQ17" i="33"/>
  <c r="AK20" i="33"/>
  <c r="S20" i="33" s="1"/>
  <c r="P20" i="33"/>
  <c r="AI12" i="33"/>
  <c r="AO12" i="33" s="1"/>
  <c r="AU12" i="33" s="1"/>
  <c r="AH11" i="33"/>
  <c r="AN11" i="33" s="1"/>
  <c r="K17" i="33"/>
  <c r="AR17" i="33"/>
  <c r="AX39" i="33"/>
  <c r="AW17" i="33"/>
  <c r="AO5" i="33"/>
  <c r="AU5" i="33" s="1"/>
  <c r="Q7" i="31"/>
  <c r="AR7" i="31"/>
  <c r="S20" i="31"/>
  <c r="AN17" i="31"/>
  <c r="AT17" i="31" s="1"/>
  <c r="AN14" i="31"/>
  <c r="AT14" i="31" s="1"/>
  <c r="P6" i="31"/>
  <c r="P7" i="31"/>
  <c r="P5" i="31"/>
  <c r="S13" i="31"/>
  <c r="K19" i="31"/>
  <c r="S11" i="31"/>
  <c r="T17" i="31"/>
  <c r="S5" i="31"/>
  <c r="AH5" i="31"/>
  <c r="AN5" i="31" s="1"/>
  <c r="AT5" i="31" s="1"/>
  <c r="AR11" i="31"/>
  <c r="K17" i="31"/>
  <c r="AO11" i="31"/>
  <c r="AU11" i="31" s="1"/>
  <c r="P39" i="31"/>
  <c r="AN12" i="31"/>
  <c r="AT12" i="31" s="1"/>
  <c r="Q12" i="31"/>
  <c r="P20" i="31"/>
  <c r="J13" i="31"/>
  <c r="P19" i="31"/>
  <c r="AH13" i="31"/>
  <c r="AN13" i="31" s="1"/>
  <c r="AT13" i="31" s="1"/>
  <c r="S12" i="31"/>
  <c r="AI17" i="31"/>
  <c r="AO17" i="31" s="1"/>
  <c r="AU17" i="31" s="1"/>
  <c r="Q8" i="31"/>
  <c r="AQ5" i="31"/>
  <c r="T20" i="31"/>
  <c r="AH19" i="31"/>
  <c r="AN19" i="31" s="1"/>
  <c r="AT19" i="31" s="1"/>
  <c r="T7" i="31"/>
  <c r="AI8" i="31"/>
  <c r="AO8" i="31" s="1"/>
  <c r="AU8" i="31" s="1"/>
  <c r="AI7" i="31"/>
  <c r="AO7" i="31" s="1"/>
  <c r="AR12" i="31"/>
  <c r="P13" i="31"/>
  <c r="T11" i="31"/>
  <c r="T12" i="31"/>
  <c r="J18" i="31"/>
  <c r="J12" i="31"/>
  <c r="AN8" i="31"/>
  <c r="AT8" i="31" s="1"/>
  <c r="AQ12" i="31"/>
  <c r="Q20" i="31"/>
  <c r="J11" i="31"/>
  <c r="P12" i="31"/>
  <c r="S8" i="31"/>
  <c r="K20" i="31"/>
  <c r="AR20" i="31"/>
  <c r="P11" i="31"/>
  <c r="AQ8" i="31"/>
  <c r="S18" i="31"/>
  <c r="AI18" i="31"/>
  <c r="AO18" i="31" s="1"/>
  <c r="AU18" i="31" s="1"/>
  <c r="J19" i="31"/>
  <c r="AI19" i="31"/>
  <c r="AO19" i="31" s="1"/>
  <c r="AU19" i="31" s="1"/>
  <c r="AN20" i="31"/>
  <c r="AT20" i="31" s="1"/>
  <c r="T19" i="31"/>
  <c r="AN18" i="31"/>
  <c r="AT18" i="31" s="1"/>
  <c r="S19" i="31"/>
  <c r="J20" i="31"/>
  <c r="AQ20" i="31"/>
  <c r="AI20" i="31"/>
  <c r="AO20" i="31" s="1"/>
  <c r="AU20" i="31" s="1"/>
  <c r="BA13" i="31"/>
  <c r="BD13" i="31" s="1"/>
  <c r="AI19" i="30"/>
  <c r="AO19" i="30" s="1"/>
  <c r="AU19" i="30" s="1"/>
  <c r="AI18" i="30"/>
  <c r="AO18" i="30" s="1"/>
  <c r="AU18" i="30" s="1"/>
  <c r="P19" i="30"/>
  <c r="AK20" i="30"/>
  <c r="S20" i="30" s="1"/>
  <c r="AO17" i="30"/>
  <c r="AU17" i="30" s="1"/>
  <c r="P11" i="30"/>
  <c r="AH13" i="30"/>
  <c r="AN13" i="30" s="1"/>
  <c r="AT13" i="30" s="1"/>
  <c r="P12" i="30"/>
  <c r="P8" i="30"/>
  <c r="AH8" i="30"/>
  <c r="AN8" i="30" s="1"/>
  <c r="AW8" i="30"/>
  <c r="AW39" i="30"/>
  <c r="AK39" i="30"/>
  <c r="S39" i="30" s="1"/>
  <c r="P39" i="30"/>
  <c r="AI5" i="30"/>
  <c r="AO5" i="30" s="1"/>
  <c r="AU5" i="30" s="1"/>
  <c r="AI11" i="30"/>
  <c r="AO11" i="30" s="1"/>
  <c r="AU11" i="30" s="1"/>
  <c r="AR39" i="30"/>
  <c r="K39" i="30"/>
  <c r="AR6" i="30"/>
  <c r="K6" i="30"/>
  <c r="AL13" i="30"/>
  <c r="T13" i="30" s="1"/>
  <c r="Q13" i="30"/>
  <c r="AL8" i="30"/>
  <c r="T8" i="30" s="1"/>
  <c r="Q8" i="30"/>
  <c r="AR20" i="30"/>
  <c r="K20" i="30"/>
  <c r="AL19" i="30"/>
  <c r="T19" i="30" s="1"/>
  <c r="Q19" i="30"/>
  <c r="AL11" i="30"/>
  <c r="T11" i="30" s="1"/>
  <c r="Q11" i="30"/>
  <c r="AQ39" i="30"/>
  <c r="J39" i="30"/>
  <c r="AL6" i="30"/>
  <c r="T6" i="30" s="1"/>
  <c r="Q6" i="30"/>
  <c r="AI13" i="30"/>
  <c r="AO13" i="30" s="1"/>
  <c r="AU13" i="30" s="1"/>
  <c r="AI12" i="30"/>
  <c r="AO12" i="30" s="1"/>
  <c r="AU12" i="30" s="1"/>
  <c r="AL7" i="30"/>
  <c r="T7" i="30" s="1"/>
  <c r="Q7" i="30"/>
  <c r="AO39" i="30"/>
  <c r="AU39" i="30" s="1"/>
  <c r="AL14" i="30"/>
  <c r="T14" i="30" s="1"/>
  <c r="Q14" i="30"/>
  <c r="AI8" i="30"/>
  <c r="AO8" i="30" s="1"/>
  <c r="AU8" i="30" s="1"/>
  <c r="AH14" i="30"/>
  <c r="AN14" i="30" s="1"/>
  <c r="AT14" i="30" s="1"/>
  <c r="AL18" i="30"/>
  <c r="T18" i="30" s="1"/>
  <c r="Q18" i="30"/>
  <c r="AR19" i="30"/>
  <c r="K19" i="30"/>
  <c r="AI7" i="30"/>
  <c r="AO7" i="30" s="1"/>
  <c r="AU7" i="30" s="1"/>
  <c r="AH11" i="30"/>
  <c r="AN11" i="30" s="1"/>
  <c r="AT11" i="30" s="1"/>
  <c r="AH12" i="30"/>
  <c r="AN12" i="30" s="1"/>
  <c r="AT12" i="30" s="1"/>
  <c r="AI6" i="30"/>
  <c r="AO6" i="30" s="1"/>
  <c r="AU6" i="30" s="1"/>
  <c r="AL17" i="30"/>
  <c r="T17" i="30" s="1"/>
  <c r="Q17" i="30"/>
  <c r="AL5" i="30"/>
  <c r="T5" i="30" s="1"/>
  <c r="Q5" i="30"/>
  <c r="AR12" i="30"/>
  <c r="K12" i="30"/>
  <c r="AL12" i="30"/>
  <c r="T12" i="30" s="1"/>
  <c r="Q12" i="30"/>
  <c r="AL39" i="30"/>
  <c r="T39" i="30" s="1"/>
  <c r="Q39" i="30"/>
  <c r="AQ20" i="30"/>
  <c r="J20" i="30"/>
  <c r="AL20" i="30"/>
  <c r="T20" i="30" s="1"/>
  <c r="Q20" i="30"/>
  <c r="AH18" i="30"/>
  <c r="AN18" i="30" s="1"/>
  <c r="AT18" i="30" s="1"/>
  <c r="AR14" i="30"/>
  <c r="AO14" i="30"/>
  <c r="AU14" i="30" s="1"/>
  <c r="K14" i="30"/>
  <c r="AH17" i="30"/>
  <c r="AN17" i="30" s="1"/>
  <c r="AT17" i="30" s="1"/>
  <c r="AR8" i="30"/>
  <c r="K8" i="30"/>
  <c r="AX39" i="30"/>
  <c r="AH5" i="30"/>
  <c r="AN5" i="30" s="1"/>
  <c r="AT5" i="30" s="1"/>
  <c r="AH6" i="30"/>
  <c r="AN6" i="30" s="1"/>
  <c r="AT6" i="30" s="1"/>
  <c r="AI19" i="29"/>
  <c r="AO19" i="29" s="1"/>
  <c r="AU19" i="29" s="1"/>
  <c r="AI7" i="29"/>
  <c r="J6" i="29"/>
  <c r="AH6" i="29"/>
  <c r="AN6" i="29" s="1"/>
  <c r="AT6" i="29" s="1"/>
  <c r="AI17" i="29"/>
  <c r="AO17" i="29" s="1"/>
  <c r="AU17" i="29" s="1"/>
  <c r="AH19" i="29"/>
  <c r="AI12" i="29"/>
  <c r="J8" i="29"/>
  <c r="AN7" i="29"/>
  <c r="AT7" i="29" s="1"/>
  <c r="AH8" i="29"/>
  <c r="AN8" i="29" s="1"/>
  <c r="AT8" i="29" s="1"/>
  <c r="AO7" i="29"/>
  <c r="AU7" i="29" s="1"/>
  <c r="AR20" i="29"/>
  <c r="AI14" i="29"/>
  <c r="AO14" i="29" s="1"/>
  <c r="AU14" i="29" s="1"/>
  <c r="AH13" i="29"/>
  <c r="AN13" i="29" s="1"/>
  <c r="AT13" i="29" s="1"/>
  <c r="AH5" i="29"/>
  <c r="AN5" i="29" s="1"/>
  <c r="AT5" i="29" s="1"/>
  <c r="AL5" i="29"/>
  <c r="T5" i="29" s="1"/>
  <c r="Q5" i="29"/>
  <c r="P8" i="29"/>
  <c r="AK8" i="29"/>
  <c r="S8" i="29" s="1"/>
  <c r="AL19" i="29"/>
  <c r="T19" i="29" s="1"/>
  <c r="Q19" i="29"/>
  <c r="Q7" i="29"/>
  <c r="AL7" i="29"/>
  <c r="T7" i="29" s="1"/>
  <c r="J11" i="29"/>
  <c r="AQ11" i="29"/>
  <c r="AK20" i="29"/>
  <c r="S20" i="29" s="1"/>
  <c r="P20" i="29"/>
  <c r="J17" i="29"/>
  <c r="AQ17" i="29"/>
  <c r="J13" i="29"/>
  <c r="AQ13" i="29"/>
  <c r="AK17" i="29"/>
  <c r="S17" i="29" s="1"/>
  <c r="P17" i="29"/>
  <c r="AK11" i="29"/>
  <c r="S11" i="29" s="1"/>
  <c r="P11" i="29"/>
  <c r="AR8" i="29"/>
  <c r="K8" i="29"/>
  <c r="J7" i="29"/>
  <c r="AQ7" i="29"/>
  <c r="AK18" i="29"/>
  <c r="S18" i="29" s="1"/>
  <c r="P18" i="29"/>
  <c r="AL17" i="29"/>
  <c r="T17" i="29" s="1"/>
  <c r="Q17" i="29"/>
  <c r="AL6" i="29"/>
  <c r="T6" i="29" s="1"/>
  <c r="Q6" i="29"/>
  <c r="AK13" i="29"/>
  <c r="S13" i="29" s="1"/>
  <c r="P13" i="29"/>
  <c r="AE39" i="29"/>
  <c r="AH39" i="29"/>
  <c r="AN39" i="29" s="1"/>
  <c r="AT39" i="29" s="1"/>
  <c r="AI20" i="29"/>
  <c r="AO20" i="29" s="1"/>
  <c r="AU20" i="29" s="1"/>
  <c r="AL8" i="29"/>
  <c r="T8" i="29" s="1"/>
  <c r="Q8" i="29"/>
  <c r="AK7" i="29"/>
  <c r="S7" i="29" s="1"/>
  <c r="P7" i="29"/>
  <c r="AX6" i="29"/>
  <c r="AW13" i="29"/>
  <c r="AF39" i="29"/>
  <c r="AI39" i="29"/>
  <c r="AO39" i="29" s="1"/>
  <c r="AU39" i="29" s="1"/>
  <c r="K19" i="29"/>
  <c r="AR19" i="29"/>
  <c r="AI13" i="29"/>
  <c r="AX8" i="29"/>
  <c r="AW7" i="29"/>
  <c r="AR6" i="29"/>
  <c r="K6" i="29"/>
  <c r="P6" i="29"/>
  <c r="AK6" i="29"/>
  <c r="S6" i="29" s="1"/>
  <c r="AK19" i="29"/>
  <c r="S19" i="29" s="1"/>
  <c r="P19" i="29"/>
  <c r="Q39" i="29"/>
  <c r="AL39" i="29"/>
  <c r="T39" i="29" s="1"/>
  <c r="AK14" i="29"/>
  <c r="S14" i="29" s="1"/>
  <c r="P14" i="29"/>
  <c r="J19" i="29"/>
  <c r="AQ19" i="29"/>
  <c r="AN19" i="29"/>
  <c r="AT19" i="29" s="1"/>
  <c r="AL13" i="29"/>
  <c r="T13" i="29" s="1"/>
  <c r="Q13" i="29"/>
  <c r="AO12" i="29"/>
  <c r="AU12" i="29" s="1"/>
  <c r="J5" i="29"/>
  <c r="AQ5" i="29"/>
  <c r="AN17" i="29"/>
  <c r="AT17" i="29" s="1"/>
  <c r="AL20" i="29"/>
  <c r="T20" i="29" s="1"/>
  <c r="Q20" i="29"/>
  <c r="AK5" i="29"/>
  <c r="S5" i="29" s="1"/>
  <c r="P5" i="29"/>
  <c r="AI11" i="29"/>
  <c r="AO11" i="29" s="1"/>
  <c r="AU11" i="29" s="1"/>
  <c r="AR14" i="29"/>
  <c r="K14" i="29"/>
  <c r="K11" i="29"/>
  <c r="AR11" i="29"/>
  <c r="Q11" i="29"/>
  <c r="AL11" i="29"/>
  <c r="T11" i="29" s="1"/>
  <c r="AI6" i="29"/>
  <c r="AO6" i="29" s="1"/>
  <c r="AU6" i="29" s="1"/>
  <c r="AI8" i="29"/>
  <c r="AO8" i="29" s="1"/>
  <c r="AU8" i="29" s="1"/>
  <c r="AL18" i="29"/>
  <c r="T18" i="29" s="1"/>
  <c r="Q18" i="29"/>
  <c r="K17" i="29"/>
  <c r="AR17" i="29"/>
  <c r="AR12" i="29"/>
  <c r="K12" i="29"/>
  <c r="AZ18" i="29"/>
  <c r="BC18" i="29" s="1"/>
  <c r="P39" i="29"/>
  <c r="AK39" i="29"/>
  <c r="S39" i="29" s="1"/>
  <c r="K13" i="29"/>
  <c r="AR13" i="29"/>
  <c r="AH11" i="29"/>
  <c r="AN11" i="29" s="1"/>
  <c r="AT11" i="29" s="1"/>
  <c r="AO13" i="29"/>
  <c r="AU13" i="29" s="1"/>
  <c r="AZ12" i="29"/>
  <c r="BC12" i="29" s="1"/>
  <c r="AK12" i="29"/>
  <c r="S12" i="29" s="1"/>
  <c r="P12" i="29"/>
  <c r="AL12" i="29"/>
  <c r="T12" i="29" s="1"/>
  <c r="Q12" i="29"/>
  <c r="AI5" i="29"/>
  <c r="AO5" i="29" s="1"/>
  <c r="K7" i="29"/>
  <c r="AR7" i="29"/>
  <c r="AX12" i="29"/>
  <c r="AI18" i="29"/>
  <c r="AO18" i="29" s="1"/>
  <c r="AU18" i="29" s="1"/>
  <c r="AR18" i="29"/>
  <c r="K18" i="29"/>
  <c r="AL14" i="29"/>
  <c r="T14" i="29" s="1"/>
  <c r="Q14" i="29"/>
  <c r="AH20" i="29"/>
  <c r="AN20" i="29" s="1"/>
  <c r="AT20" i="29" s="1"/>
  <c r="AQ28" i="28"/>
  <c r="S28" i="28"/>
  <c r="S20" i="28"/>
  <c r="AP22" i="28"/>
  <c r="I22" i="28"/>
  <c r="R16" i="28"/>
  <c r="O12" i="28"/>
  <c r="O17" i="28"/>
  <c r="AN14" i="28"/>
  <c r="AT14" i="28" s="1"/>
  <c r="I13" i="28"/>
  <c r="AY13" i="28" s="1"/>
  <c r="BB13" i="28" s="1"/>
  <c r="S17" i="28"/>
  <c r="AM13" i="28"/>
  <c r="AS13" i="28" s="1"/>
  <c r="AH9" i="28"/>
  <c r="I9" i="28"/>
  <c r="AY9" i="28" s="1"/>
  <c r="BB9" i="28" s="1"/>
  <c r="AP9" i="28"/>
  <c r="AM32" i="28"/>
  <c r="AS32" i="28" s="1"/>
  <c r="AH61" i="28"/>
  <c r="AG29" i="28"/>
  <c r="AM29" i="28" s="1"/>
  <c r="AS29" i="28" s="1"/>
  <c r="AG21" i="28"/>
  <c r="AG8" i="28"/>
  <c r="AM8" i="28" s="1"/>
  <c r="AS8" i="28" s="1"/>
  <c r="O8" i="28"/>
  <c r="AJ8" i="28"/>
  <c r="R8" i="28" s="1"/>
  <c r="AP24" i="28"/>
  <c r="AJ21" i="28"/>
  <c r="R21" i="28" s="1"/>
  <c r="AG15" i="28"/>
  <c r="AM15" i="28" s="1"/>
  <c r="P21" i="28"/>
  <c r="AM24" i="28"/>
  <c r="AS24" i="28" s="1"/>
  <c r="P20" i="28"/>
  <c r="AG23" i="28"/>
  <c r="AM23" i="28" s="1"/>
  <c r="AS23" i="28" s="1"/>
  <c r="AN21" i="28"/>
  <c r="AT21" i="28" s="1"/>
  <c r="AG22" i="28"/>
  <c r="AM22" i="28" s="1"/>
  <c r="AS22" i="28" s="1"/>
  <c r="AH7" i="28"/>
  <c r="AN7" i="28" s="1"/>
  <c r="AT7" i="28" s="1"/>
  <c r="AQ20" i="28"/>
  <c r="J20" i="28"/>
  <c r="AN16" i="28"/>
  <c r="AT16" i="28" s="1"/>
  <c r="AZ22" i="28"/>
  <c r="BC22" i="28" s="1"/>
  <c r="AH23" i="28"/>
  <c r="AN23" i="28" s="1"/>
  <c r="AT23" i="28" s="1"/>
  <c r="AH20" i="28"/>
  <c r="AN20" i="28" s="1"/>
  <c r="AT20" i="28" s="1"/>
  <c r="J61" i="28"/>
  <c r="AN9" i="28"/>
  <c r="AT9" i="28" s="1"/>
  <c r="S21" i="28"/>
  <c r="AZ9" i="28"/>
  <c r="BC9" i="28" s="1"/>
  <c r="AQ21" i="28"/>
  <c r="J21" i="28"/>
  <c r="AG31" i="28"/>
  <c r="AM31" i="28" s="1"/>
  <c r="AS31" i="28" s="1"/>
  <c r="AM5" i="28"/>
  <c r="AS5" i="28" s="1"/>
  <c r="P30" i="28"/>
  <c r="AK30" i="28"/>
  <c r="S30" i="28" s="1"/>
  <c r="AQ25" i="28"/>
  <c r="J25" i="28"/>
  <c r="O31" i="28"/>
  <c r="AJ31" i="28"/>
  <c r="R31" i="28" s="1"/>
  <c r="O6" i="28"/>
  <c r="AJ6" i="28"/>
  <c r="R6" i="28" s="1"/>
  <c r="AP14" i="28"/>
  <c r="I14" i="28"/>
  <c r="AP17" i="28"/>
  <c r="I17" i="28"/>
  <c r="AN5" i="28"/>
  <c r="AT5" i="28" s="1"/>
  <c r="I31" i="28"/>
  <c r="AP31" i="28"/>
  <c r="AM6" i="28"/>
  <c r="AS6" i="28" s="1"/>
  <c r="AG61" i="28"/>
  <c r="AM61" i="28" s="1"/>
  <c r="AS61" i="28" s="1"/>
  <c r="AW29" i="28"/>
  <c r="AZ24" i="28"/>
  <c r="BC24" i="28" s="1"/>
  <c r="P29" i="28"/>
  <c r="AK29" i="28"/>
  <c r="S29" i="28" s="1"/>
  <c r="J13" i="28"/>
  <c r="AQ13" i="28"/>
  <c r="I23" i="28"/>
  <c r="AP23" i="28"/>
  <c r="AP30" i="28"/>
  <c r="I30" i="28"/>
  <c r="AH28" i="28"/>
  <c r="AN28" i="28" s="1"/>
  <c r="AM21" i="28"/>
  <c r="AS21" i="28" s="1"/>
  <c r="R17" i="28"/>
  <c r="P8" i="28"/>
  <c r="AK8" i="28"/>
  <c r="S8" i="28" s="1"/>
  <c r="AK14" i="28"/>
  <c r="S14" i="28" s="1"/>
  <c r="P14" i="28"/>
  <c r="I29" i="28"/>
  <c r="AP29" i="28"/>
  <c r="AQ17" i="28"/>
  <c r="J17" i="28"/>
  <c r="I16" i="28"/>
  <c r="AP16" i="28"/>
  <c r="J31" i="28"/>
  <c r="AQ31" i="28"/>
  <c r="AV31" i="28"/>
  <c r="O7" i="28"/>
  <c r="AJ7" i="28"/>
  <c r="R7" i="28" s="1"/>
  <c r="AM30" i="28"/>
  <c r="AS30" i="28" s="1"/>
  <c r="AM14" i="28"/>
  <c r="AS14" i="28" s="1"/>
  <c r="R30" i="28"/>
  <c r="AQ8" i="28"/>
  <c r="J8" i="28"/>
  <c r="O29" i="28"/>
  <c r="AJ29" i="28"/>
  <c r="R29" i="28" s="1"/>
  <c r="AW13" i="28"/>
  <c r="J6" i="28"/>
  <c r="AQ6" i="28"/>
  <c r="AG20" i="28"/>
  <c r="AM20" i="28" s="1"/>
  <c r="AS20" i="28" s="1"/>
  <c r="AV21" i="28"/>
  <c r="AQ14" i="28"/>
  <c r="J14" i="28"/>
  <c r="AZ14" i="28" s="1"/>
  <c r="BC14" i="28" s="1"/>
  <c r="R12" i="28"/>
  <c r="AH30" i="28"/>
  <c r="AN30" i="28" s="1"/>
  <c r="AE30" i="28"/>
  <c r="AV9" i="28"/>
  <c r="AE6" i="28"/>
  <c r="AH6" i="28"/>
  <c r="AN6" i="28" s="1"/>
  <c r="AT6" i="28" s="1"/>
  <c r="AK31" i="28"/>
  <c r="S31" i="28" s="1"/>
  <c r="P31" i="28"/>
  <c r="O28" i="28"/>
  <c r="AJ28" i="28"/>
  <c r="R28" i="28" s="1"/>
  <c r="AG33" i="28"/>
  <c r="AM33" i="28" s="1"/>
  <c r="AS33" i="28" s="1"/>
  <c r="I32" i="28"/>
  <c r="AP32" i="28"/>
  <c r="AN8" i="28"/>
  <c r="AT8" i="28" s="1"/>
  <c r="I21" i="28"/>
  <c r="AP21" i="28"/>
  <c r="AW7" i="28"/>
  <c r="AK15" i="28"/>
  <c r="S15" i="28" s="1"/>
  <c r="P15" i="28"/>
  <c r="I12" i="28"/>
  <c r="AP12" i="28"/>
  <c r="O32" i="28"/>
  <c r="AJ32" i="28"/>
  <c r="R32" i="28" s="1"/>
  <c r="AQ15" i="28"/>
  <c r="J15" i="28"/>
  <c r="I20" i="28"/>
  <c r="AP20" i="28"/>
  <c r="P7" i="28"/>
  <c r="AK7" i="28"/>
  <c r="S7" i="28" s="1"/>
  <c r="AG25" i="28"/>
  <c r="AM25" i="28" s="1"/>
  <c r="AS25" i="28" s="1"/>
  <c r="J5" i="28"/>
  <c r="AQ5" i="28"/>
  <c r="I28" i="28"/>
  <c r="AP28" i="28"/>
  <c r="AG28" i="28"/>
  <c r="AM28" i="28" s="1"/>
  <c r="AS28" i="28" s="1"/>
  <c r="AH32" i="28"/>
  <c r="AN32" i="28" s="1"/>
  <c r="AT32" i="28" s="1"/>
  <c r="AQ7" i="28"/>
  <c r="J7" i="28"/>
  <c r="P61" i="28"/>
  <c r="AK61" i="28"/>
  <c r="S61" i="28" s="1"/>
  <c r="J12" i="28"/>
  <c r="AQ12" i="28"/>
  <c r="O33" i="28"/>
  <c r="AJ33" i="28"/>
  <c r="R33" i="28" s="1"/>
  <c r="AV5" i="28"/>
  <c r="AQ33" i="28"/>
  <c r="J33" i="28"/>
  <c r="R25" i="28"/>
  <c r="I25" i="28"/>
  <c r="AP25" i="28"/>
  <c r="AP5" i="28"/>
  <c r="I5" i="28"/>
  <c r="AH12" i="28"/>
  <c r="AN12" i="28" s="1"/>
  <c r="AT12" i="28" s="1"/>
  <c r="AE12" i="28"/>
  <c r="J32" i="28"/>
  <c r="AQ32" i="28"/>
  <c r="R20" i="28"/>
  <c r="AN25" i="28"/>
  <c r="AT25" i="28" s="1"/>
  <c r="P32" i="28"/>
  <c r="AK32" i="28"/>
  <c r="S32" i="28" s="1"/>
  <c r="AV6" i="28"/>
  <c r="I33" i="28"/>
  <c r="AP33" i="28"/>
  <c r="AG7" i="28"/>
  <c r="AM7" i="28" s="1"/>
  <c r="O61" i="28"/>
  <c r="AJ61" i="28"/>
  <c r="R61" i="28" s="1"/>
  <c r="AH15" i="28"/>
  <c r="AN15" i="28" s="1"/>
  <c r="AT15" i="28" s="1"/>
  <c r="J29" i="28"/>
  <c r="AQ29" i="28"/>
  <c r="S12" i="28"/>
  <c r="AM16" i="28"/>
  <c r="AS16" i="28" s="1"/>
  <c r="AK33" i="28"/>
  <c r="S33" i="28" s="1"/>
  <c r="P33" i="28"/>
  <c r="P24" i="28"/>
  <c r="AK24" i="28"/>
  <c r="S24" i="28" s="1"/>
  <c r="R23" i="28"/>
  <c r="AW17" i="28"/>
  <c r="AM17" i="28"/>
  <c r="AS17" i="28" s="1"/>
  <c r="AW32" i="28"/>
  <c r="O14" i="28"/>
  <c r="AJ14" i="28"/>
  <c r="R14" i="28" s="1"/>
  <c r="BK61" i="28"/>
  <c r="BN61" i="28" s="1"/>
  <c r="P13" i="28"/>
  <c r="AK13" i="28"/>
  <c r="S13" i="28" s="1"/>
  <c r="AH29" i="28"/>
  <c r="AN29" i="28" s="1"/>
  <c r="AT29" i="28" s="1"/>
  <c r="AK25" i="28"/>
  <c r="S25" i="28" s="1"/>
  <c r="P25" i="28"/>
  <c r="I6" i="28"/>
  <c r="AY6" i="28" s="1"/>
  <c r="BB6" i="28" s="1"/>
  <c r="AP6" i="28"/>
  <c r="I61" i="28"/>
  <c r="AP61" i="28"/>
  <c r="AG12" i="28"/>
  <c r="AM12" i="28" s="1"/>
  <c r="AS12" i="28" s="1"/>
  <c r="AG61" i="27"/>
  <c r="AM61" i="27" s="1"/>
  <c r="AS61" i="27" s="1"/>
  <c r="AH29" i="27"/>
  <c r="AG28" i="27"/>
  <c r="AM21" i="27"/>
  <c r="AS21" i="27" s="1"/>
  <c r="AM13" i="27"/>
  <c r="AS13" i="27" s="1"/>
  <c r="AH14" i="27"/>
  <c r="AN14" i="27" s="1"/>
  <c r="AT14" i="27" s="1"/>
  <c r="AM16" i="27"/>
  <c r="AS16" i="27" s="1"/>
  <c r="AH15" i="27"/>
  <c r="AH5" i="27"/>
  <c r="AG30" i="27"/>
  <c r="AH28" i="27"/>
  <c r="AN28" i="27" s="1"/>
  <c r="AT28" i="27" s="1"/>
  <c r="AG29" i="27"/>
  <c r="AM29" i="27" s="1"/>
  <c r="AS29" i="27" s="1"/>
  <c r="AM24" i="27"/>
  <c r="AS24" i="27" s="1"/>
  <c r="AG23" i="27"/>
  <c r="AM23" i="27" s="1"/>
  <c r="AS23" i="27" s="1"/>
  <c r="AG17" i="27"/>
  <c r="AM17" i="27" s="1"/>
  <c r="AS17" i="27" s="1"/>
  <c r="AK20" i="27"/>
  <c r="S20" i="27" s="1"/>
  <c r="P20" i="27"/>
  <c r="I33" i="27"/>
  <c r="AP33" i="27"/>
  <c r="I25" i="27"/>
  <c r="AP25" i="27"/>
  <c r="I17" i="27"/>
  <c r="AP17" i="27"/>
  <c r="I9" i="27"/>
  <c r="AP9" i="27"/>
  <c r="I6" i="27"/>
  <c r="AP6" i="27"/>
  <c r="AM9" i="27"/>
  <c r="AS9" i="27" s="1"/>
  <c r="AJ23" i="27"/>
  <c r="R23" i="27" s="1"/>
  <c r="O23" i="27"/>
  <c r="J31" i="27"/>
  <c r="AQ31" i="27"/>
  <c r="J15" i="27"/>
  <c r="AQ15" i="27"/>
  <c r="AK32" i="27"/>
  <c r="S32" i="27" s="1"/>
  <c r="P32" i="27"/>
  <c r="AK16" i="27"/>
  <c r="S16" i="27" s="1"/>
  <c r="P16" i="27"/>
  <c r="AH22" i="27"/>
  <c r="AN22" i="27" s="1"/>
  <c r="AT22" i="27" s="1"/>
  <c r="I32" i="27"/>
  <c r="AP32" i="27"/>
  <c r="I8" i="27"/>
  <c r="AP8" i="27"/>
  <c r="AK31" i="27"/>
  <c r="S31" i="27" s="1"/>
  <c r="P31" i="27"/>
  <c r="J22" i="27"/>
  <c r="AQ22" i="27"/>
  <c r="AK30" i="27"/>
  <c r="S30" i="27" s="1"/>
  <c r="P30" i="27"/>
  <c r="AH21" i="27"/>
  <c r="AN21" i="27" s="1"/>
  <c r="AT21" i="27" s="1"/>
  <c r="AN30" i="27"/>
  <c r="AT30" i="27" s="1"/>
  <c r="I31" i="27"/>
  <c r="AY31" i="27" s="1"/>
  <c r="BB31" i="27" s="1"/>
  <c r="AP31" i="27"/>
  <c r="I23" i="27"/>
  <c r="AP23" i="27"/>
  <c r="I15" i="27"/>
  <c r="AY15" i="27" s="1"/>
  <c r="BB15" i="27" s="1"/>
  <c r="AP15" i="27"/>
  <c r="I7" i="27"/>
  <c r="AY7" i="27" s="1"/>
  <c r="BB7" i="27" s="1"/>
  <c r="AP7" i="27"/>
  <c r="AM32" i="27"/>
  <c r="AS32" i="27" s="1"/>
  <c r="AM25" i="27"/>
  <c r="AS25" i="27" s="1"/>
  <c r="J9" i="27"/>
  <c r="AQ9" i="27"/>
  <c r="AK29" i="27"/>
  <c r="S29" i="27" s="1"/>
  <c r="P29" i="27"/>
  <c r="AJ29" i="27"/>
  <c r="R29" i="27" s="1"/>
  <c r="O29" i="27"/>
  <c r="AJ21" i="27"/>
  <c r="R21" i="27" s="1"/>
  <c r="O21" i="27"/>
  <c r="AJ13" i="27"/>
  <c r="R13" i="27" s="1"/>
  <c r="O13" i="27"/>
  <c r="J29" i="27"/>
  <c r="AQ29" i="27"/>
  <c r="J21" i="27"/>
  <c r="AQ21" i="27"/>
  <c r="AN32" i="27"/>
  <c r="AT32" i="27" s="1"/>
  <c r="AM15" i="27"/>
  <c r="AS15" i="27" s="1"/>
  <c r="AH9" i="27"/>
  <c r="AN9" i="27" s="1"/>
  <c r="AT9" i="27" s="1"/>
  <c r="AK14" i="27"/>
  <c r="S14" i="27" s="1"/>
  <c r="P14" i="27"/>
  <c r="AK6" i="27"/>
  <c r="S6" i="27" s="1"/>
  <c r="P6" i="27"/>
  <c r="AK17" i="27"/>
  <c r="S17" i="27" s="1"/>
  <c r="P17" i="27"/>
  <c r="I16" i="27"/>
  <c r="AP16" i="27"/>
  <c r="AK5" i="27"/>
  <c r="S5" i="27" s="1"/>
  <c r="P5" i="27"/>
  <c r="AJ6" i="27"/>
  <c r="R6" i="27" s="1"/>
  <c r="O6" i="27"/>
  <c r="J6" i="27"/>
  <c r="AQ6" i="27"/>
  <c r="AJ22" i="27"/>
  <c r="R22" i="27" s="1"/>
  <c r="O22" i="27"/>
  <c r="J30" i="27"/>
  <c r="AQ30" i="27"/>
  <c r="AN23" i="27"/>
  <c r="AT23" i="27" s="1"/>
  <c r="J8" i="27"/>
  <c r="AQ8" i="27"/>
  <c r="AJ28" i="27"/>
  <c r="R28" i="27" s="1"/>
  <c r="O28" i="27"/>
  <c r="AJ20" i="27"/>
  <c r="R20" i="27" s="1"/>
  <c r="O20" i="27"/>
  <c r="AJ12" i="27"/>
  <c r="R12" i="27" s="1"/>
  <c r="O12" i="27"/>
  <c r="J61" i="27"/>
  <c r="AQ61" i="27"/>
  <c r="J28" i="27"/>
  <c r="AQ28" i="27"/>
  <c r="J20" i="27"/>
  <c r="AQ20" i="27"/>
  <c r="AN25" i="27"/>
  <c r="AT25" i="27" s="1"/>
  <c r="AH8" i="27"/>
  <c r="AN8" i="27" s="1"/>
  <c r="AT8" i="27" s="1"/>
  <c r="AK9" i="27"/>
  <c r="S9" i="27" s="1"/>
  <c r="P9" i="27"/>
  <c r="J7" i="27"/>
  <c r="AQ7" i="27"/>
  <c r="AJ15" i="27"/>
  <c r="R15" i="27" s="1"/>
  <c r="O15" i="27"/>
  <c r="J23" i="27"/>
  <c r="AQ23" i="27"/>
  <c r="AJ14" i="27"/>
  <c r="R14" i="27" s="1"/>
  <c r="O14" i="27"/>
  <c r="AK15" i="27"/>
  <c r="S15" i="27" s="1"/>
  <c r="P15" i="27"/>
  <c r="AH61" i="27"/>
  <c r="AN61" i="27" s="1"/>
  <c r="AT61" i="27" s="1"/>
  <c r="I22" i="27"/>
  <c r="AP22" i="27"/>
  <c r="AN29" i="27"/>
  <c r="AT29" i="27" s="1"/>
  <c r="AP5" i="27"/>
  <c r="I5" i="27"/>
  <c r="AY5" i="27" s="1"/>
  <c r="BB5" i="27" s="1"/>
  <c r="AK24" i="27"/>
  <c r="S24" i="27" s="1"/>
  <c r="P24" i="27"/>
  <c r="I13" i="27"/>
  <c r="AP13" i="27"/>
  <c r="AM8" i="27"/>
  <c r="AS8" i="27" s="1"/>
  <c r="AJ5" i="27"/>
  <c r="R5" i="27" s="1"/>
  <c r="O5" i="27"/>
  <c r="AW9" i="27"/>
  <c r="AM22" i="27"/>
  <c r="AS22" i="27" s="1"/>
  <c r="AN7" i="27"/>
  <c r="AT7" i="27" s="1"/>
  <c r="AJ31" i="27"/>
  <c r="R31" i="27" s="1"/>
  <c r="O31" i="27"/>
  <c r="I24" i="27"/>
  <c r="AP24" i="27"/>
  <c r="J14" i="27"/>
  <c r="AQ14" i="27"/>
  <c r="I30" i="27"/>
  <c r="AP30" i="27"/>
  <c r="I14" i="27"/>
  <c r="AY14" i="27" s="1"/>
  <c r="BB14" i="27" s="1"/>
  <c r="AP14" i="27"/>
  <c r="J12" i="27"/>
  <c r="AQ12" i="27"/>
  <c r="AJ61" i="27"/>
  <c r="R61" i="27" s="1"/>
  <c r="O61" i="27"/>
  <c r="AH17" i="27"/>
  <c r="AN17" i="27" s="1"/>
  <c r="AT17" i="27" s="1"/>
  <c r="AJ33" i="27"/>
  <c r="R33" i="27" s="1"/>
  <c r="O33" i="27"/>
  <c r="AJ9" i="27"/>
  <c r="R9" i="27" s="1"/>
  <c r="O9" i="27"/>
  <c r="J25" i="27"/>
  <c r="AZ25" i="27" s="1"/>
  <c r="BC25" i="27" s="1"/>
  <c r="AQ25" i="27"/>
  <c r="AN5" i="27"/>
  <c r="AT5" i="27" s="1"/>
  <c r="AK8" i="27"/>
  <c r="S8" i="27" s="1"/>
  <c r="P8" i="27"/>
  <c r="AV5" i="27"/>
  <c r="AK12" i="27"/>
  <c r="S12" i="27" s="1"/>
  <c r="P12" i="27"/>
  <c r="AN6" i="27"/>
  <c r="AT6" i="27" s="1"/>
  <c r="AH33" i="27"/>
  <c r="AN33" i="27" s="1"/>
  <c r="AT33" i="27" s="1"/>
  <c r="I21" i="27"/>
  <c r="AP21" i="27"/>
  <c r="AJ25" i="27"/>
  <c r="R25" i="27" s="1"/>
  <c r="O25" i="27"/>
  <c r="J33" i="27"/>
  <c r="AQ33" i="27"/>
  <c r="J17" i="27"/>
  <c r="AQ17" i="27"/>
  <c r="AK22" i="27"/>
  <c r="S22" i="27" s="1"/>
  <c r="P22" i="27"/>
  <c r="AH32" i="27"/>
  <c r="AH24" i="27"/>
  <c r="AN24" i="27" s="1"/>
  <c r="AT24" i="27" s="1"/>
  <c r="AH16" i="27"/>
  <c r="AN16" i="27" s="1"/>
  <c r="AT16" i="27" s="1"/>
  <c r="I61" i="27"/>
  <c r="AP61" i="27"/>
  <c r="I28" i="27"/>
  <c r="AP28" i="27"/>
  <c r="I20" i="27"/>
  <c r="AY20" i="27" s="1"/>
  <c r="BB20" i="27" s="1"/>
  <c r="AP20" i="27"/>
  <c r="I12" i="27"/>
  <c r="AY12" i="27" s="1"/>
  <c r="BB12" i="27" s="1"/>
  <c r="AP12" i="27"/>
  <c r="AN15" i="27"/>
  <c r="AT15" i="27" s="1"/>
  <c r="AW25" i="27"/>
  <c r="AM33" i="27"/>
  <c r="AS33" i="27" s="1"/>
  <c r="AK7" i="27"/>
  <c r="S7" i="27" s="1"/>
  <c r="P7" i="27"/>
  <c r="AN12" i="27"/>
  <c r="AT12" i="27" s="1"/>
  <c r="AK61" i="27"/>
  <c r="S61" i="27" s="1"/>
  <c r="P61" i="27"/>
  <c r="AK33" i="27"/>
  <c r="S33" i="27" s="1"/>
  <c r="P33" i="27"/>
  <c r="AJ7" i="27"/>
  <c r="R7" i="27" s="1"/>
  <c r="O7" i="27"/>
  <c r="AK13" i="27"/>
  <c r="S13" i="27" s="1"/>
  <c r="P13" i="27"/>
  <c r="AJ30" i="27"/>
  <c r="R30" i="27" s="1"/>
  <c r="O30" i="27"/>
  <c r="AN31" i="27"/>
  <c r="AT31" i="27" s="1"/>
  <c r="J5" i="27"/>
  <c r="AQ5" i="27"/>
  <c r="AK28" i="27"/>
  <c r="S28" i="27" s="1"/>
  <c r="P28" i="27"/>
  <c r="AH20" i="27"/>
  <c r="AN20" i="27" s="1"/>
  <c r="AT20" i="27" s="1"/>
  <c r="AK25" i="27"/>
  <c r="S25" i="27" s="1"/>
  <c r="P25" i="27"/>
  <c r="I29" i="27"/>
  <c r="AP29" i="27"/>
  <c r="AK23" i="27"/>
  <c r="S23" i="27" s="1"/>
  <c r="P23" i="27"/>
  <c r="AJ17" i="27"/>
  <c r="R17" i="27" s="1"/>
  <c r="O17" i="27"/>
  <c r="AK21" i="27"/>
  <c r="S21" i="27" s="1"/>
  <c r="P21" i="27"/>
  <c r="AJ32" i="27"/>
  <c r="R32" i="27" s="1"/>
  <c r="O32" i="27"/>
  <c r="AJ24" i="27"/>
  <c r="R24" i="27" s="1"/>
  <c r="O24" i="27"/>
  <c r="AJ16" i="27"/>
  <c r="R16" i="27" s="1"/>
  <c r="O16" i="27"/>
  <c r="AJ8" i="27"/>
  <c r="R8" i="27" s="1"/>
  <c r="O8" i="27"/>
  <c r="J32" i="27"/>
  <c r="AZ32" i="27" s="1"/>
  <c r="BC32" i="27" s="1"/>
  <c r="AQ32" i="27"/>
  <c r="J24" i="27"/>
  <c r="AQ24" i="27"/>
  <c r="J16" i="27"/>
  <c r="AQ16" i="27"/>
  <c r="AM28" i="27"/>
  <c r="AS28" i="27" s="1"/>
  <c r="AM30" i="27"/>
  <c r="AS30" i="27" s="1"/>
  <c r="J13" i="27"/>
  <c r="AZ13" i="27" s="1"/>
  <c r="BC13" i="27" s="1"/>
  <c r="AQ13" i="27"/>
  <c r="AW29" i="27"/>
  <c r="AW21" i="27"/>
  <c r="AM6" i="27"/>
  <c r="AS6" i="27" s="1"/>
  <c r="AS24" i="26"/>
  <c r="AY24" i="26"/>
  <c r="BB24" i="26" s="1"/>
  <c r="AZ28" i="26"/>
  <c r="BC28" i="26" s="1"/>
  <c r="AZ20" i="26"/>
  <c r="BC20" i="26" s="1"/>
  <c r="AY23" i="26"/>
  <c r="BB23" i="26" s="1"/>
  <c r="AZ61" i="26"/>
  <c r="BC61" i="26" s="1"/>
  <c r="AY15" i="26"/>
  <c r="BB15" i="26" s="1"/>
  <c r="AY33" i="26"/>
  <c r="BB33" i="26" s="1"/>
  <c r="AS22" i="26"/>
  <c r="AY22" i="26"/>
  <c r="BB22" i="26" s="1"/>
  <c r="AZ32" i="26"/>
  <c r="BC32" i="26" s="1"/>
  <c r="AY14" i="26"/>
  <c r="BB14" i="26" s="1"/>
  <c r="AS14" i="26"/>
  <c r="AT24" i="26"/>
  <c r="AZ24" i="26"/>
  <c r="BC24" i="26" s="1"/>
  <c r="AZ23" i="26"/>
  <c r="BC23" i="26" s="1"/>
  <c r="AY9" i="26"/>
  <c r="BB9" i="26" s="1"/>
  <c r="AY13" i="26"/>
  <c r="BB13" i="26" s="1"/>
  <c r="AZ16" i="26"/>
  <c r="BC16" i="26" s="1"/>
  <c r="AZ5" i="26"/>
  <c r="BC5" i="26" s="1"/>
  <c r="AY16" i="26"/>
  <c r="BB16" i="26" s="1"/>
  <c r="AT22" i="26"/>
  <c r="AZ22" i="26"/>
  <c r="BC22" i="26" s="1"/>
  <c r="AS8" i="26"/>
  <c r="AY8" i="26"/>
  <c r="BB8" i="26" s="1"/>
  <c r="AZ25" i="26"/>
  <c r="BC25" i="26" s="1"/>
  <c r="AZ33" i="26"/>
  <c r="BC33" i="26" s="1"/>
  <c r="AY6" i="26"/>
  <c r="BB6" i="26" s="1"/>
  <c r="AZ12" i="26"/>
  <c r="BC12" i="26" s="1"/>
  <c r="AZ14" i="26"/>
  <c r="BC14" i="26" s="1"/>
  <c r="AT14" i="26"/>
  <c r="AZ8" i="26"/>
  <c r="BC8" i="26" s="1"/>
  <c r="AC39" i="25"/>
  <c r="AF39" i="25" s="1"/>
  <c r="AB39" i="25"/>
  <c r="AE39" i="25" s="1"/>
  <c r="Z39" i="25"/>
  <c r="Y39" i="25"/>
  <c r="W39" i="25"/>
  <c r="AX39" i="25" s="1"/>
  <c r="V39" i="25"/>
  <c r="AW39" i="25" s="1"/>
  <c r="N39" i="25"/>
  <c r="AL39" i="25" s="1"/>
  <c r="M39" i="25"/>
  <c r="P39" i="25" s="1"/>
  <c r="H39" i="25"/>
  <c r="K39" i="25" s="1"/>
  <c r="G39" i="25"/>
  <c r="AQ39" i="25" s="1"/>
  <c r="U20" i="34" l="1"/>
  <c r="U28" i="34"/>
  <c r="U36" i="34"/>
  <c r="BA6" i="38"/>
  <c r="BD6" i="38" s="1"/>
  <c r="AL6" i="40"/>
  <c r="T6" i="40" s="1"/>
  <c r="Q6" i="40"/>
  <c r="K6" i="40"/>
  <c r="AR6" i="40"/>
  <c r="AL5" i="40"/>
  <c r="T5" i="40" s="1"/>
  <c r="Q5" i="40"/>
  <c r="AO5" i="40"/>
  <c r="AU5" i="40" s="1"/>
  <c r="AI6" i="40"/>
  <c r="AO6" i="40" s="1"/>
  <c r="AU6" i="40" s="1"/>
  <c r="K5" i="40"/>
  <c r="BA5" i="40" s="1"/>
  <c r="BD5" i="40" s="1"/>
  <c r="AR5" i="40"/>
  <c r="BA5" i="38"/>
  <c r="BD5" i="38" s="1"/>
  <c r="AE20" i="35"/>
  <c r="AE28" i="35"/>
  <c r="AE36" i="35"/>
  <c r="AO20" i="35"/>
  <c r="AO36" i="35"/>
  <c r="AO28" i="35"/>
  <c r="AQ33" i="37"/>
  <c r="J33" i="37"/>
  <c r="AW33" i="37"/>
  <c r="AE36" i="34"/>
  <c r="AE20" i="34"/>
  <c r="AE28" i="34"/>
  <c r="P33" i="37"/>
  <c r="AK33" i="37"/>
  <c r="S33" i="37" s="1"/>
  <c r="AO28" i="34"/>
  <c r="AO20" i="34"/>
  <c r="AO36" i="34"/>
  <c r="AH33" i="37"/>
  <c r="AN33" i="37" s="1"/>
  <c r="AT33" i="37" s="1"/>
  <c r="G33" i="36"/>
  <c r="M33" i="36"/>
  <c r="U12" i="35" s="1"/>
  <c r="Y33" i="36"/>
  <c r="V33" i="36"/>
  <c r="AW33" i="36" s="1"/>
  <c r="AB33" i="36"/>
  <c r="AE33" i="36" s="1"/>
  <c r="AN61" i="28"/>
  <c r="AT61" i="28" s="1"/>
  <c r="Q20" i="33"/>
  <c r="AT14" i="33"/>
  <c r="AN8" i="33"/>
  <c r="AT8" i="33" s="1"/>
  <c r="AZ12" i="31"/>
  <c r="BC12" i="31" s="1"/>
  <c r="AZ14" i="29"/>
  <c r="BC14" i="29" s="1"/>
  <c r="AY21" i="27"/>
  <c r="BB21" i="27" s="1"/>
  <c r="AY24" i="27"/>
  <c r="BB24" i="27" s="1"/>
  <c r="AY13" i="27"/>
  <c r="BB13" i="27" s="1"/>
  <c r="AY16" i="27"/>
  <c r="BB16" i="27" s="1"/>
  <c r="AZ17" i="28"/>
  <c r="BC17" i="28" s="1"/>
  <c r="AY22" i="28"/>
  <c r="BB22" i="28" s="1"/>
  <c r="AZ14" i="30"/>
  <c r="BC14" i="30" s="1"/>
  <c r="BA20" i="30"/>
  <c r="BD20" i="30" s="1"/>
  <c r="BA14" i="30"/>
  <c r="BD14" i="30" s="1"/>
  <c r="AZ20" i="30"/>
  <c r="BC20" i="30" s="1"/>
  <c r="AZ19" i="30"/>
  <c r="BC19" i="30" s="1"/>
  <c r="BA11" i="33"/>
  <c r="BD11" i="33" s="1"/>
  <c r="AR8" i="33"/>
  <c r="K8" i="33"/>
  <c r="BA8" i="33" s="1"/>
  <c r="BD8" i="33" s="1"/>
  <c r="S8" i="33"/>
  <c r="AK6" i="33"/>
  <c r="S6" i="33" s="1"/>
  <c r="Q39" i="31"/>
  <c r="AI39" i="31"/>
  <c r="AO39" i="31" s="1"/>
  <c r="AU39" i="31" s="1"/>
  <c r="J39" i="31"/>
  <c r="AN39" i="31"/>
  <c r="AT39" i="31" s="1"/>
  <c r="S39" i="31"/>
  <c r="AZ19" i="31"/>
  <c r="BC19" i="31" s="1"/>
  <c r="AI12" i="31"/>
  <c r="AO12" i="31" s="1"/>
  <c r="AU12" i="31" s="1"/>
  <c r="AF19" i="33"/>
  <c r="AI19" i="33"/>
  <c r="AO19" i="33" s="1"/>
  <c r="AU19" i="33" s="1"/>
  <c r="BA17" i="30"/>
  <c r="BD17" i="30" s="1"/>
  <c r="AO20" i="33"/>
  <c r="AU20" i="33" s="1"/>
  <c r="T8" i="33"/>
  <c r="AN18" i="33"/>
  <c r="AT18" i="33" s="1"/>
  <c r="AN13" i="33"/>
  <c r="AT13" i="33" s="1"/>
  <c r="J13" i="33"/>
  <c r="AZ13" i="33" s="1"/>
  <c r="BC13" i="33" s="1"/>
  <c r="AQ13" i="33"/>
  <c r="S13" i="33"/>
  <c r="AZ7" i="30"/>
  <c r="BC7" i="30" s="1"/>
  <c r="J8" i="33"/>
  <c r="AZ8" i="33" s="1"/>
  <c r="BC8" i="33" s="1"/>
  <c r="AQ8" i="33"/>
  <c r="AH6" i="33"/>
  <c r="AN6" i="33" s="1"/>
  <c r="AQ5" i="33"/>
  <c r="J5" i="33"/>
  <c r="S5" i="33"/>
  <c r="AH5" i="33"/>
  <c r="AN5" i="33" s="1"/>
  <c r="AT5" i="33" s="1"/>
  <c r="BA39" i="33"/>
  <c r="BD39" i="33" s="1"/>
  <c r="AN39" i="33"/>
  <c r="AT39" i="33" s="1"/>
  <c r="AZ39" i="30"/>
  <c r="BC39" i="30" s="1"/>
  <c r="S39" i="33"/>
  <c r="AQ39" i="33"/>
  <c r="K39" i="31"/>
  <c r="BA39" i="31" s="1"/>
  <c r="BD39" i="31" s="1"/>
  <c r="BA19" i="29"/>
  <c r="BD19" i="29" s="1"/>
  <c r="BA17" i="31"/>
  <c r="BD17" i="31" s="1"/>
  <c r="AZ17" i="31"/>
  <c r="BC17" i="31" s="1"/>
  <c r="BA14" i="31"/>
  <c r="BD14" i="31" s="1"/>
  <c r="AZ13" i="29"/>
  <c r="BC13" i="29" s="1"/>
  <c r="AH11" i="31"/>
  <c r="AN11" i="31" s="1"/>
  <c r="AT11" i="31" s="1"/>
  <c r="AZ14" i="31"/>
  <c r="BC14" i="31" s="1"/>
  <c r="AW7" i="31"/>
  <c r="AZ8" i="29"/>
  <c r="BC8" i="29" s="1"/>
  <c r="J7" i="31"/>
  <c r="AQ7" i="31"/>
  <c r="AH7" i="31"/>
  <c r="AN7" i="31" s="1"/>
  <c r="AT7" i="31" s="1"/>
  <c r="AN6" i="31"/>
  <c r="AT6" i="31" s="1"/>
  <c r="AZ6" i="29"/>
  <c r="BC6" i="29" s="1"/>
  <c r="J6" i="31"/>
  <c r="AQ6" i="31"/>
  <c r="BA5" i="31"/>
  <c r="BD5" i="31" s="1"/>
  <c r="AY30" i="28"/>
  <c r="BB30" i="28" s="1"/>
  <c r="AY32" i="28"/>
  <c r="BB32" i="28" s="1"/>
  <c r="AZ21" i="28"/>
  <c r="BC21" i="28" s="1"/>
  <c r="AZ13" i="28"/>
  <c r="BC13" i="28" s="1"/>
  <c r="AZ39" i="31"/>
  <c r="BC39" i="31" s="1"/>
  <c r="BA7" i="33"/>
  <c r="BD7" i="33" s="1"/>
  <c r="AZ19" i="33"/>
  <c r="BC19" i="33" s="1"/>
  <c r="AZ17" i="33"/>
  <c r="BC17" i="33" s="1"/>
  <c r="AZ20" i="33"/>
  <c r="BC20" i="33" s="1"/>
  <c r="BA5" i="33"/>
  <c r="BD5" i="33" s="1"/>
  <c r="BA17" i="33"/>
  <c r="BD17" i="33" s="1"/>
  <c r="AT7" i="33"/>
  <c r="AZ7" i="33"/>
  <c r="BC7" i="33" s="1"/>
  <c r="BA12" i="33"/>
  <c r="BD12" i="33" s="1"/>
  <c r="AT11" i="33"/>
  <c r="AZ11" i="33"/>
  <c r="BC11" i="33" s="1"/>
  <c r="BA18" i="33"/>
  <c r="BD18" i="33" s="1"/>
  <c r="BA6" i="33"/>
  <c r="BD6" i="33" s="1"/>
  <c r="BA14" i="33"/>
  <c r="BD14" i="33" s="1"/>
  <c r="AT12" i="33"/>
  <c r="AZ12" i="33"/>
  <c r="BC12" i="33" s="1"/>
  <c r="BA13" i="33"/>
  <c r="BD13" i="33" s="1"/>
  <c r="AZ13" i="31"/>
  <c r="BC13" i="31" s="1"/>
  <c r="BA18" i="31"/>
  <c r="BD18" i="31" s="1"/>
  <c r="AZ8" i="31"/>
  <c r="BC8" i="31" s="1"/>
  <c r="BA11" i="31"/>
  <c r="BD11" i="31" s="1"/>
  <c r="BA19" i="31"/>
  <c r="BD19" i="31" s="1"/>
  <c r="AZ5" i="31"/>
  <c r="BC5" i="31" s="1"/>
  <c r="AU7" i="31"/>
  <c r="BA7" i="31"/>
  <c r="BD7" i="31" s="1"/>
  <c r="BA8" i="31"/>
  <c r="BD8" i="31" s="1"/>
  <c r="AZ20" i="31"/>
  <c r="BC20" i="31" s="1"/>
  <c r="BA20" i="31"/>
  <c r="BD20" i="31" s="1"/>
  <c r="AZ18" i="31"/>
  <c r="BC18" i="31" s="1"/>
  <c r="BA18" i="30"/>
  <c r="BD18" i="30" s="1"/>
  <c r="BA19" i="30"/>
  <c r="BD19" i="30" s="1"/>
  <c r="AZ13" i="30"/>
  <c r="BC13" i="30" s="1"/>
  <c r="AT8" i="30"/>
  <c r="AZ8" i="30"/>
  <c r="BC8" i="30" s="1"/>
  <c r="BA7" i="30"/>
  <c r="BD7" i="30" s="1"/>
  <c r="BA39" i="30"/>
  <c r="BD39" i="30" s="1"/>
  <c r="BA12" i="30"/>
  <c r="BD12" i="30" s="1"/>
  <c r="BA11" i="30"/>
  <c r="BD11" i="30" s="1"/>
  <c r="BA6" i="30"/>
  <c r="BD6" i="30" s="1"/>
  <c r="BA5" i="30"/>
  <c r="BD5" i="30" s="1"/>
  <c r="BA8" i="30"/>
  <c r="BD8" i="30" s="1"/>
  <c r="AZ18" i="30"/>
  <c r="BC18" i="30" s="1"/>
  <c r="AZ12" i="30"/>
  <c r="BC12" i="30" s="1"/>
  <c r="BA13" i="30"/>
  <c r="BD13" i="30" s="1"/>
  <c r="AZ5" i="30"/>
  <c r="BC5" i="30" s="1"/>
  <c r="AZ11" i="30"/>
  <c r="BC11" i="30" s="1"/>
  <c r="AZ17" i="30"/>
  <c r="BC17" i="30" s="1"/>
  <c r="AZ6" i="30"/>
  <c r="BC6" i="30" s="1"/>
  <c r="AZ39" i="29"/>
  <c r="BC39" i="29" s="1"/>
  <c r="AZ17" i="29"/>
  <c r="BC17" i="29" s="1"/>
  <c r="BA17" i="29"/>
  <c r="BD17" i="29" s="1"/>
  <c r="BA12" i="29"/>
  <c r="BD12" i="29" s="1"/>
  <c r="AZ20" i="29"/>
  <c r="BC20" i="29" s="1"/>
  <c r="BA20" i="29"/>
  <c r="BD20" i="29" s="1"/>
  <c r="AZ19" i="29"/>
  <c r="BC19" i="29" s="1"/>
  <c r="AZ11" i="29"/>
  <c r="BC11" i="29" s="1"/>
  <c r="BA14" i="29"/>
  <c r="BD14" i="29" s="1"/>
  <c r="BA7" i="29"/>
  <c r="BD7" i="29" s="1"/>
  <c r="AZ7" i="29"/>
  <c r="BC7" i="29" s="1"/>
  <c r="AZ5" i="29"/>
  <c r="BC5" i="29" s="1"/>
  <c r="BA11" i="29"/>
  <c r="BD11" i="29" s="1"/>
  <c r="BA18" i="29"/>
  <c r="BD18" i="29" s="1"/>
  <c r="BA39" i="29"/>
  <c r="BD39" i="29" s="1"/>
  <c r="BA13" i="29"/>
  <c r="BD13" i="29" s="1"/>
  <c r="BA6" i="29"/>
  <c r="BD6" i="29" s="1"/>
  <c r="AU5" i="29"/>
  <c r="BA5" i="29"/>
  <c r="BD5" i="29" s="1"/>
  <c r="BA8" i="29"/>
  <c r="BD8" i="29" s="1"/>
  <c r="AZ61" i="28"/>
  <c r="BC61" i="28" s="1"/>
  <c r="AZ20" i="28"/>
  <c r="BC20" i="28" s="1"/>
  <c r="AZ25" i="28"/>
  <c r="BC25" i="28" s="1"/>
  <c r="AY16" i="28"/>
  <c r="BB16" i="28" s="1"/>
  <c r="AS15" i="28"/>
  <c r="AY15" i="28"/>
  <c r="BB15" i="28" s="1"/>
  <c r="AZ23" i="28"/>
  <c r="BC23" i="28" s="1"/>
  <c r="AY31" i="28"/>
  <c r="BB31" i="28" s="1"/>
  <c r="AZ7" i="28"/>
  <c r="BC7" i="28" s="1"/>
  <c r="AY20" i="28"/>
  <c r="BB20" i="28" s="1"/>
  <c r="AY17" i="28"/>
  <c r="BB17" i="28" s="1"/>
  <c r="AY24" i="28"/>
  <c r="BB24" i="28" s="1"/>
  <c r="AY21" i="28"/>
  <c r="BB21" i="28" s="1"/>
  <c r="AY8" i="28"/>
  <c r="BB8" i="28" s="1"/>
  <c r="AZ31" i="28"/>
  <c r="BC31" i="28" s="1"/>
  <c r="AY14" i="28"/>
  <c r="BB14" i="28" s="1"/>
  <c r="AZ16" i="28"/>
  <c r="BC16" i="28" s="1"/>
  <c r="AY5" i="28"/>
  <c r="BB5" i="28" s="1"/>
  <c r="AS7" i="28"/>
  <c r="AY7" i="28"/>
  <c r="BB7" i="28" s="1"/>
  <c r="AZ15" i="28"/>
  <c r="BC15" i="28" s="1"/>
  <c r="AZ6" i="28"/>
  <c r="BC6" i="28" s="1"/>
  <c r="AZ5" i="28"/>
  <c r="BC5" i="28" s="1"/>
  <c r="AZ12" i="28"/>
  <c r="BC12" i="28" s="1"/>
  <c r="AZ8" i="28"/>
  <c r="BC8" i="28" s="1"/>
  <c r="AT28" i="28"/>
  <c r="AZ28" i="28"/>
  <c r="BC28" i="28" s="1"/>
  <c r="AY25" i="28"/>
  <c r="BB25" i="28" s="1"/>
  <c r="AY29" i="28"/>
  <c r="BB29" i="28" s="1"/>
  <c r="AY12" i="28"/>
  <c r="BB12" i="28" s="1"/>
  <c r="AZ32" i="28"/>
  <c r="BC32" i="28" s="1"/>
  <c r="AY23" i="28"/>
  <c r="BB23" i="28" s="1"/>
  <c r="AT30" i="28"/>
  <c r="AZ30" i="28"/>
  <c r="BC30" i="28" s="1"/>
  <c r="AY33" i="28"/>
  <c r="BB33" i="28" s="1"/>
  <c r="AY61" i="28"/>
  <c r="BB61" i="28" s="1"/>
  <c r="AZ29" i="28"/>
  <c r="BC29" i="28" s="1"/>
  <c r="AZ33" i="28"/>
  <c r="BC33" i="28" s="1"/>
  <c r="AY28" i="28"/>
  <c r="BB28" i="28" s="1"/>
  <c r="AY61" i="27"/>
  <c r="BB61" i="27" s="1"/>
  <c r="AY28" i="27"/>
  <c r="BB28" i="27" s="1"/>
  <c r="AY23" i="27"/>
  <c r="BB23" i="27" s="1"/>
  <c r="AZ14" i="27"/>
  <c r="BC14" i="27" s="1"/>
  <c r="AZ23" i="27"/>
  <c r="BC23" i="27" s="1"/>
  <c r="AZ9" i="27"/>
  <c r="BC9" i="27" s="1"/>
  <c r="AZ61" i="27"/>
  <c r="BC61" i="27" s="1"/>
  <c r="AY9" i="27"/>
  <c r="BB9" i="27" s="1"/>
  <c r="AZ16" i="27"/>
  <c r="BC16" i="27" s="1"/>
  <c r="AZ8" i="27"/>
  <c r="BC8" i="27" s="1"/>
  <c r="AZ28" i="27"/>
  <c r="BC28" i="27" s="1"/>
  <c r="AZ12" i="27"/>
  <c r="BC12" i="27" s="1"/>
  <c r="AY6" i="27"/>
  <c r="BB6" i="27" s="1"/>
  <c r="AY30" i="27"/>
  <c r="BB30" i="27" s="1"/>
  <c r="AZ6" i="27"/>
  <c r="BC6" i="27" s="1"/>
  <c r="AZ22" i="27"/>
  <c r="BC22" i="27" s="1"/>
  <c r="AY17" i="27"/>
  <c r="BB17" i="27" s="1"/>
  <c r="AZ30" i="27"/>
  <c r="BC30" i="27" s="1"/>
  <c r="AZ5" i="27"/>
  <c r="BC5" i="27" s="1"/>
  <c r="AY22" i="27"/>
  <c r="BB22" i="27" s="1"/>
  <c r="AZ15" i="27"/>
  <c r="BC15" i="27" s="1"/>
  <c r="AY29" i="27"/>
  <c r="BB29" i="27" s="1"/>
  <c r="AY25" i="27"/>
  <c r="BB25" i="27" s="1"/>
  <c r="AZ7" i="27"/>
  <c r="BC7" i="27" s="1"/>
  <c r="AZ29" i="27"/>
  <c r="BC29" i="27" s="1"/>
  <c r="AZ31" i="27"/>
  <c r="BC31" i="27" s="1"/>
  <c r="AZ21" i="27"/>
  <c r="BC21" i="27" s="1"/>
  <c r="AY8" i="27"/>
  <c r="BB8" i="27" s="1"/>
  <c r="AY33" i="27"/>
  <c r="BB33" i="27" s="1"/>
  <c r="AZ24" i="27"/>
  <c r="BC24" i="27" s="1"/>
  <c r="AZ33" i="27"/>
  <c r="BC33" i="27" s="1"/>
  <c r="AZ20" i="27"/>
  <c r="BC20" i="27" s="1"/>
  <c r="AZ17" i="27"/>
  <c r="BC17" i="27" s="1"/>
  <c r="AY32" i="27"/>
  <c r="BB32" i="27" s="1"/>
  <c r="AI39" i="25"/>
  <c r="AO39" i="25" s="1"/>
  <c r="AU39" i="25" s="1"/>
  <c r="Q39" i="25"/>
  <c r="T39" i="25"/>
  <c r="AH39" i="25"/>
  <c r="AN39" i="25" s="1"/>
  <c r="AT39" i="25" s="1"/>
  <c r="AK39" i="25"/>
  <c r="S39" i="25" s="1"/>
  <c r="J39" i="25"/>
  <c r="AR39" i="25"/>
  <c r="U28" i="35" l="1"/>
  <c r="U20" i="35"/>
  <c r="U36" i="35"/>
  <c r="BA6" i="40"/>
  <c r="BD6" i="40" s="1"/>
  <c r="P33" i="36"/>
  <c r="AK33" i="36"/>
  <c r="S33" i="36" s="1"/>
  <c r="AH33" i="36"/>
  <c r="AN33" i="36" s="1"/>
  <c r="AT33" i="36" s="1"/>
  <c r="AQ33" i="36"/>
  <c r="J33" i="36"/>
  <c r="AZ33" i="37"/>
  <c r="BC33" i="37" s="1"/>
  <c r="AZ39" i="33"/>
  <c r="BC39" i="33" s="1"/>
  <c r="BA20" i="33"/>
  <c r="BD20" i="33" s="1"/>
  <c r="BA12" i="31"/>
  <c r="BD12" i="31" s="1"/>
  <c r="AZ11" i="31"/>
  <c r="BC11" i="31" s="1"/>
  <c r="BA19" i="33"/>
  <c r="BD19" i="33" s="1"/>
  <c r="AZ18" i="33"/>
  <c r="BC18" i="33" s="1"/>
  <c r="AZ6" i="33"/>
  <c r="BC6" i="33" s="1"/>
  <c r="AT6" i="33"/>
  <c r="AZ5" i="33"/>
  <c r="BC5" i="33" s="1"/>
  <c r="AZ7" i="31"/>
  <c r="BC7" i="31" s="1"/>
  <c r="AZ6" i="31"/>
  <c r="BC6" i="31" s="1"/>
  <c r="AZ39" i="25"/>
  <c r="BC39" i="25" s="1"/>
  <c r="BA39" i="25"/>
  <c r="BD39" i="25" s="1"/>
  <c r="AZ33" i="36" l="1"/>
  <c r="BC33" i="36" s="1"/>
  <c r="V5" i="24"/>
  <c r="AC39" i="24"/>
  <c r="AF39" i="24" s="1"/>
  <c r="AB39" i="24"/>
  <c r="AE39" i="24" s="1"/>
  <c r="Z39" i="24"/>
  <c r="Y39" i="24"/>
  <c r="W39" i="24"/>
  <c r="AX39" i="24" s="1"/>
  <c r="V39" i="24"/>
  <c r="AW39" i="24" s="1"/>
  <c r="N39" i="24"/>
  <c r="AL39" i="24" s="1"/>
  <c r="M39" i="24"/>
  <c r="AK39" i="24" s="1"/>
  <c r="H39" i="24"/>
  <c r="K39" i="24" s="1"/>
  <c r="G39" i="24"/>
  <c r="J39" i="24" s="1"/>
  <c r="AC20" i="24"/>
  <c r="AF20" i="24" s="1"/>
  <c r="AB20" i="24"/>
  <c r="AE20" i="24" s="1"/>
  <c r="Z20" i="24"/>
  <c r="Y20" i="24"/>
  <c r="W20" i="24"/>
  <c r="AX20" i="24" s="1"/>
  <c r="V20" i="24"/>
  <c r="AW20" i="24" s="1"/>
  <c r="N20" i="24"/>
  <c r="Q20" i="24" s="1"/>
  <c r="M20" i="24"/>
  <c r="P20" i="24" s="1"/>
  <c r="H20" i="24"/>
  <c r="AR20" i="24" s="1"/>
  <c r="G20" i="24"/>
  <c r="AQ20" i="24" s="1"/>
  <c r="AC19" i="24"/>
  <c r="AF19" i="24" s="1"/>
  <c r="AB19" i="24"/>
  <c r="AE19" i="24" s="1"/>
  <c r="Z19" i="24"/>
  <c r="Y19" i="24"/>
  <c r="W19" i="24"/>
  <c r="AX19" i="24" s="1"/>
  <c r="V19" i="24"/>
  <c r="N19" i="24"/>
  <c r="AL19" i="24" s="1"/>
  <c r="M19" i="24"/>
  <c r="AK19" i="24" s="1"/>
  <c r="H19" i="24"/>
  <c r="K19" i="24" s="1"/>
  <c r="G19" i="24"/>
  <c r="J19" i="24" s="1"/>
  <c r="AC18" i="24"/>
  <c r="AF18" i="24" s="1"/>
  <c r="AB18" i="24"/>
  <c r="AE18" i="24" s="1"/>
  <c r="Z18" i="24"/>
  <c r="Y18" i="24"/>
  <c r="W18" i="24"/>
  <c r="AX18" i="24" s="1"/>
  <c r="V18" i="24"/>
  <c r="N18" i="24"/>
  <c r="AL18" i="24" s="1"/>
  <c r="M18" i="24"/>
  <c r="AK18" i="24" s="1"/>
  <c r="H18" i="24"/>
  <c r="AR18" i="24" s="1"/>
  <c r="G18" i="24"/>
  <c r="AQ18" i="24" s="1"/>
  <c r="AC17" i="24"/>
  <c r="AF17" i="24" s="1"/>
  <c r="AB17" i="24"/>
  <c r="AE17" i="24" s="1"/>
  <c r="Z17" i="24"/>
  <c r="AI17" i="24" s="1"/>
  <c r="Y17" i="24"/>
  <c r="W17" i="24"/>
  <c r="V17" i="24"/>
  <c r="N17" i="24"/>
  <c r="Q17" i="24" s="1"/>
  <c r="M17" i="24"/>
  <c r="P17" i="24" s="1"/>
  <c r="H17" i="24"/>
  <c r="AR17" i="24" s="1"/>
  <c r="G17" i="24"/>
  <c r="J17" i="24" s="1"/>
  <c r="AC14" i="24"/>
  <c r="AF14" i="24" s="1"/>
  <c r="AB14" i="24"/>
  <c r="AE14" i="24" s="1"/>
  <c r="Z14" i="24"/>
  <c r="AI14" i="24" s="1"/>
  <c r="Y14" i="24"/>
  <c r="AH14" i="24" s="1"/>
  <c r="W14" i="24"/>
  <c r="AX14" i="24" s="1"/>
  <c r="V14" i="24"/>
  <c r="AW14" i="24" s="1"/>
  <c r="N14" i="24"/>
  <c r="AL14" i="24" s="1"/>
  <c r="M14" i="24"/>
  <c r="AK14" i="24" s="1"/>
  <c r="H14" i="24"/>
  <c r="K14" i="24" s="1"/>
  <c r="G14" i="24"/>
  <c r="J14" i="24" s="1"/>
  <c r="AC13" i="24"/>
  <c r="AF13" i="24" s="1"/>
  <c r="AB13" i="24"/>
  <c r="AE13" i="24" s="1"/>
  <c r="Z13" i="24"/>
  <c r="Y13" i="24"/>
  <c r="W13" i="24"/>
  <c r="AX13" i="24" s="1"/>
  <c r="V13" i="24"/>
  <c r="AW13" i="24" s="1"/>
  <c r="N13" i="24"/>
  <c r="Q13" i="24" s="1"/>
  <c r="M13" i="24"/>
  <c r="P13" i="24" s="1"/>
  <c r="H13" i="24"/>
  <c r="K13" i="24" s="1"/>
  <c r="G13" i="24"/>
  <c r="J13" i="24" s="1"/>
  <c r="AC12" i="24"/>
  <c r="AF12" i="24" s="1"/>
  <c r="AB12" i="24"/>
  <c r="AE12" i="24" s="1"/>
  <c r="Z12" i="24"/>
  <c r="Y12" i="24"/>
  <c r="W12" i="24"/>
  <c r="AX12" i="24" s="1"/>
  <c r="V12" i="24"/>
  <c r="AW12" i="24" s="1"/>
  <c r="N12" i="24"/>
  <c r="AL12" i="24" s="1"/>
  <c r="M12" i="24"/>
  <c r="AK12" i="24" s="1"/>
  <c r="H12" i="24"/>
  <c r="AR12" i="24" s="1"/>
  <c r="G12" i="24"/>
  <c r="AQ12" i="24" s="1"/>
  <c r="AC11" i="24"/>
  <c r="AF11" i="24" s="1"/>
  <c r="AB11" i="24"/>
  <c r="AE11" i="24" s="1"/>
  <c r="Z11" i="24"/>
  <c r="Y11" i="24"/>
  <c r="W11" i="24"/>
  <c r="AX11" i="24" s="1"/>
  <c r="V11" i="24"/>
  <c r="N11" i="24"/>
  <c r="AL11" i="24" s="1"/>
  <c r="M11" i="24"/>
  <c r="AK11" i="24" s="1"/>
  <c r="H11" i="24"/>
  <c r="K11" i="24" s="1"/>
  <c r="G11" i="24"/>
  <c r="J11" i="24" s="1"/>
  <c r="AC8" i="24"/>
  <c r="AF8" i="24" s="1"/>
  <c r="AB8" i="24"/>
  <c r="AE8" i="24" s="1"/>
  <c r="Z8" i="24"/>
  <c r="Y8" i="24"/>
  <c r="W8" i="24"/>
  <c r="V8" i="24"/>
  <c r="N8" i="24"/>
  <c r="AL8" i="24" s="1"/>
  <c r="M8" i="24"/>
  <c r="AK8" i="24" s="1"/>
  <c r="H8" i="24"/>
  <c r="AR8" i="24" s="1"/>
  <c r="G8" i="24"/>
  <c r="AQ8" i="24" s="1"/>
  <c r="AC7" i="24"/>
  <c r="AF7" i="24" s="1"/>
  <c r="AB7" i="24"/>
  <c r="AE7" i="24" s="1"/>
  <c r="Z7" i="24"/>
  <c r="Y7" i="24"/>
  <c r="W7" i="24"/>
  <c r="V7" i="24"/>
  <c r="N7" i="24"/>
  <c r="Q7" i="24" s="1"/>
  <c r="M7" i="24"/>
  <c r="P7" i="24" s="1"/>
  <c r="H7" i="24"/>
  <c r="AR7" i="24" s="1"/>
  <c r="G7" i="24"/>
  <c r="J7" i="24" s="1"/>
  <c r="AC6" i="24"/>
  <c r="AF6" i="24" s="1"/>
  <c r="AB6" i="24"/>
  <c r="AE6" i="24" s="1"/>
  <c r="Z6" i="24"/>
  <c r="Y6" i="24"/>
  <c r="W6" i="24"/>
  <c r="AX6" i="24" s="1"/>
  <c r="V6" i="24"/>
  <c r="AW6" i="24" s="1"/>
  <c r="N6" i="24"/>
  <c r="AL6" i="24" s="1"/>
  <c r="M6" i="24"/>
  <c r="AK6" i="24" s="1"/>
  <c r="H6" i="24"/>
  <c r="K6" i="24" s="1"/>
  <c r="G6" i="24"/>
  <c r="J6" i="24" s="1"/>
  <c r="AC5" i="24"/>
  <c r="AF5" i="24" s="1"/>
  <c r="Z5" i="24"/>
  <c r="W5" i="24"/>
  <c r="AX5" i="24" s="1"/>
  <c r="N5" i="24"/>
  <c r="Q5" i="24" s="1"/>
  <c r="H5" i="24"/>
  <c r="K5" i="24" s="1"/>
  <c r="F12" i="22"/>
  <c r="F8" i="22"/>
  <c r="D33" i="23"/>
  <c r="M33" i="23" s="1"/>
  <c r="U33" i="23"/>
  <c r="AV33" i="23" s="1"/>
  <c r="D32" i="23"/>
  <c r="K11" i="22" s="1"/>
  <c r="C32" i="23"/>
  <c r="AA32" i="23" s="1"/>
  <c r="AD32" i="23" s="1"/>
  <c r="D31" i="23"/>
  <c r="K10" i="22" s="1"/>
  <c r="C31" i="23"/>
  <c r="F10" i="22" s="1"/>
  <c r="D30" i="23"/>
  <c r="K9" i="22" s="1"/>
  <c r="C30" i="23"/>
  <c r="F9" i="22" s="1"/>
  <c r="D29" i="23"/>
  <c r="K8" i="22" s="1"/>
  <c r="C29" i="23"/>
  <c r="AA29" i="23" s="1"/>
  <c r="AD29" i="23" s="1"/>
  <c r="D28" i="23"/>
  <c r="K7" i="22" s="1"/>
  <c r="C28" i="23"/>
  <c r="AA28" i="23" s="1"/>
  <c r="AD28" i="23" s="1"/>
  <c r="D25" i="23"/>
  <c r="J12" i="22" s="1"/>
  <c r="C25" i="23"/>
  <c r="E12" i="22" s="1"/>
  <c r="D24" i="23"/>
  <c r="J11" i="22" s="1"/>
  <c r="C24" i="23"/>
  <c r="E11" i="22" s="1"/>
  <c r="D23" i="23"/>
  <c r="J10" i="22" s="1"/>
  <c r="C23" i="23"/>
  <c r="E10" i="22" s="1"/>
  <c r="D22" i="23"/>
  <c r="J9" i="22" s="1"/>
  <c r="C22" i="23"/>
  <c r="E9" i="22" s="1"/>
  <c r="D21" i="23"/>
  <c r="J8" i="22" s="1"/>
  <c r="C21" i="23"/>
  <c r="AA21" i="23" s="1"/>
  <c r="AD21" i="23" s="1"/>
  <c r="D20" i="23"/>
  <c r="AB20" i="23" s="1"/>
  <c r="AE20" i="23" s="1"/>
  <c r="C20" i="23"/>
  <c r="E7" i="22" s="1"/>
  <c r="AB17" i="23"/>
  <c r="AE17" i="23" s="1"/>
  <c r="C17" i="23"/>
  <c r="X17" i="23" s="1"/>
  <c r="I11" i="22"/>
  <c r="C16" i="23"/>
  <c r="U16" i="23" s="1"/>
  <c r="AV16" i="23" s="1"/>
  <c r="D15" i="23"/>
  <c r="I10" i="22" s="1"/>
  <c r="C15" i="23"/>
  <c r="D10" i="22" s="1"/>
  <c r="D14" i="23"/>
  <c r="I9" i="22" s="1"/>
  <c r="C14" i="23"/>
  <c r="AA14" i="23" s="1"/>
  <c r="AD14" i="23" s="1"/>
  <c r="D13" i="23"/>
  <c r="AB13" i="23" s="1"/>
  <c r="AE13" i="23" s="1"/>
  <c r="C13" i="23"/>
  <c r="D8" i="22" s="1"/>
  <c r="D12" i="23"/>
  <c r="I7" i="22" s="1"/>
  <c r="C12" i="23"/>
  <c r="L12" i="23" s="1"/>
  <c r="N7" i="22" s="1"/>
  <c r="C6" i="23"/>
  <c r="L6" i="23" s="1"/>
  <c r="M8" i="22" s="1"/>
  <c r="D6" i="23"/>
  <c r="AB6" i="23" s="1"/>
  <c r="AE6" i="23" s="1"/>
  <c r="C7" i="23"/>
  <c r="L7" i="23" s="1"/>
  <c r="AJ7" i="23" s="1"/>
  <c r="D7" i="23"/>
  <c r="H9" i="22" s="1"/>
  <c r="C8" i="23"/>
  <c r="AA8" i="23" s="1"/>
  <c r="AD8" i="23" s="1"/>
  <c r="D8" i="23"/>
  <c r="H10" i="22" s="1"/>
  <c r="C9" i="23"/>
  <c r="C11" i="22" s="1"/>
  <c r="D9" i="23"/>
  <c r="M9" i="23" s="1"/>
  <c r="D5" i="23"/>
  <c r="M5" i="23" s="1"/>
  <c r="AK5" i="23" s="1"/>
  <c r="C5" i="23"/>
  <c r="L5" i="23" s="1"/>
  <c r="M7" i="22" s="1"/>
  <c r="AB61" i="23"/>
  <c r="AE61" i="23" s="1"/>
  <c r="AA61" i="23"/>
  <c r="AD61" i="23" s="1"/>
  <c r="Y61" i="23"/>
  <c r="X61" i="23"/>
  <c r="V61" i="23"/>
  <c r="U61" i="23"/>
  <c r="M61" i="23"/>
  <c r="P61" i="23" s="1"/>
  <c r="L61" i="23"/>
  <c r="AJ61" i="23" s="1"/>
  <c r="G61" i="23"/>
  <c r="F61" i="23"/>
  <c r="AP61" i="23" s="1"/>
  <c r="AA33" i="23"/>
  <c r="AD33" i="23" s="1"/>
  <c r="X33" i="23"/>
  <c r="L33" i="23"/>
  <c r="AJ33" i="23" s="1"/>
  <c r="F33" i="23"/>
  <c r="I33" i="23" s="1"/>
  <c r="AA25" i="23"/>
  <c r="U25" i="23"/>
  <c r="AV25" i="23" s="1"/>
  <c r="U17" i="23"/>
  <c r="AV17" i="23" s="1"/>
  <c r="S14" i="24" l="1"/>
  <c r="O61" i="23"/>
  <c r="AG61" i="23"/>
  <c r="AM61" i="23" s="1"/>
  <c r="AS61" i="23" s="1"/>
  <c r="AI13" i="24"/>
  <c r="AO13" i="24" s="1"/>
  <c r="AU13" i="24" s="1"/>
  <c r="AB7" i="23"/>
  <c r="AE7" i="23" s="1"/>
  <c r="C9" i="22"/>
  <c r="D12" i="22"/>
  <c r="M6" i="23"/>
  <c r="AK6" i="23" s="1"/>
  <c r="AA17" i="23"/>
  <c r="AD17" i="23" s="1"/>
  <c r="X24" i="23"/>
  <c r="Y24" i="23"/>
  <c r="V33" i="23"/>
  <c r="AW33" i="23" s="1"/>
  <c r="Y25" i="23"/>
  <c r="Y17" i="23"/>
  <c r="AH17" i="23" s="1"/>
  <c r="F20" i="23"/>
  <c r="I20" i="23" s="1"/>
  <c r="L20" i="23"/>
  <c r="AJ20" i="23" s="1"/>
  <c r="P12" i="22"/>
  <c r="AB12" i="23"/>
  <c r="AE12" i="23" s="1"/>
  <c r="M12" i="23"/>
  <c r="AK12" i="23" s="1"/>
  <c r="AB16" i="23"/>
  <c r="AE16" i="23" s="1"/>
  <c r="AI39" i="24"/>
  <c r="AO39" i="24" s="1"/>
  <c r="AU39" i="24" s="1"/>
  <c r="T39" i="24"/>
  <c r="AH39" i="24"/>
  <c r="AN39" i="24" s="1"/>
  <c r="AT39" i="24" s="1"/>
  <c r="S39" i="24"/>
  <c r="T6" i="24"/>
  <c r="AI8" i="24"/>
  <c r="S12" i="24"/>
  <c r="T8" i="24"/>
  <c r="T12" i="24"/>
  <c r="S8" i="24"/>
  <c r="AI20" i="24"/>
  <c r="AO20" i="24" s="1"/>
  <c r="AU20" i="24" s="1"/>
  <c r="T11" i="24"/>
  <c r="AI11" i="24"/>
  <c r="AO11" i="24" s="1"/>
  <c r="AU11" i="24" s="1"/>
  <c r="AB8" i="23"/>
  <c r="AE8" i="23" s="1"/>
  <c r="F23" i="23"/>
  <c r="I23" i="23" s="1"/>
  <c r="M14" i="23"/>
  <c r="AK14" i="23" s="1"/>
  <c r="AA24" i="23"/>
  <c r="AD24" i="23" s="1"/>
  <c r="M8" i="23"/>
  <c r="AK8" i="23" s="1"/>
  <c r="Y21" i="23"/>
  <c r="AB14" i="23"/>
  <c r="AE14" i="23" s="1"/>
  <c r="X23" i="23"/>
  <c r="AA15" i="23"/>
  <c r="AD15" i="23" s="1"/>
  <c r="F24" i="23"/>
  <c r="I24" i="23" s="1"/>
  <c r="AB15" i="23"/>
  <c r="AE15" i="23" s="1"/>
  <c r="G24" i="23"/>
  <c r="J24" i="23" s="1"/>
  <c r="AB33" i="23"/>
  <c r="AE33" i="23" s="1"/>
  <c r="H8" i="22"/>
  <c r="AA9" i="23"/>
  <c r="AD9" i="23" s="1"/>
  <c r="L15" i="23"/>
  <c r="N10" i="22" s="1"/>
  <c r="AA30" i="23"/>
  <c r="AD30" i="23" s="1"/>
  <c r="AB9" i="23"/>
  <c r="AE9" i="23" s="1"/>
  <c r="AA31" i="23"/>
  <c r="AD31" i="23" s="1"/>
  <c r="F17" i="23"/>
  <c r="I17" i="23" s="1"/>
  <c r="Y22" i="23"/>
  <c r="F25" i="23"/>
  <c r="AP25" i="23" s="1"/>
  <c r="AA6" i="23"/>
  <c r="AD6" i="23" s="1"/>
  <c r="AA13" i="23"/>
  <c r="AD13" i="23" s="1"/>
  <c r="L17" i="23"/>
  <c r="AJ17" i="23" s="1"/>
  <c r="AB22" i="23"/>
  <c r="AE22" i="23" s="1"/>
  <c r="L25" i="23"/>
  <c r="O25" i="23" s="1"/>
  <c r="C7" i="22"/>
  <c r="L9" i="23"/>
  <c r="M11" i="22" s="1"/>
  <c r="L16" i="23"/>
  <c r="N11" i="22" s="1"/>
  <c r="G22" i="23"/>
  <c r="J22" i="23" s="1"/>
  <c r="M16" i="23"/>
  <c r="AK16" i="23" s="1"/>
  <c r="L22" i="23"/>
  <c r="AJ22" i="23" s="1"/>
  <c r="AB24" i="23"/>
  <c r="AE24" i="23" s="1"/>
  <c r="M9" i="22"/>
  <c r="L13" i="23"/>
  <c r="N8" i="22" s="1"/>
  <c r="M17" i="23"/>
  <c r="P17" i="23" s="1"/>
  <c r="AA23" i="23"/>
  <c r="AD23" i="23" s="1"/>
  <c r="M25" i="23"/>
  <c r="P25" i="23" s="1"/>
  <c r="F7" i="22"/>
  <c r="AA7" i="23"/>
  <c r="AD7" i="23" s="1"/>
  <c r="L14" i="23"/>
  <c r="N9" i="22" s="1"/>
  <c r="L23" i="23"/>
  <c r="AJ23" i="23" s="1"/>
  <c r="X25" i="23"/>
  <c r="AG25" i="23" s="1"/>
  <c r="F11" i="22"/>
  <c r="AL17" i="24"/>
  <c r="T17" i="24" s="1"/>
  <c r="AH7" i="24"/>
  <c r="AN7" i="24" s="1"/>
  <c r="AT7" i="24" s="1"/>
  <c r="S11" i="24"/>
  <c r="AH11" i="24"/>
  <c r="AN11" i="24" s="1"/>
  <c r="AH13" i="24"/>
  <c r="AN13" i="24" s="1"/>
  <c r="AT13" i="24" s="1"/>
  <c r="S19" i="24"/>
  <c r="AH19" i="24"/>
  <c r="AN19" i="24" s="1"/>
  <c r="AT19" i="24" s="1"/>
  <c r="AH20" i="24"/>
  <c r="AN20" i="24" s="1"/>
  <c r="AT20" i="24" s="1"/>
  <c r="Q39" i="24"/>
  <c r="AH17" i="24"/>
  <c r="AN17" i="24" s="1"/>
  <c r="AK17" i="24"/>
  <c r="S17" i="24" s="1"/>
  <c r="J18" i="24"/>
  <c r="AI19" i="24"/>
  <c r="AO19" i="24" s="1"/>
  <c r="AU19" i="24" s="1"/>
  <c r="AK9" i="23"/>
  <c r="R11" i="22"/>
  <c r="AK33" i="23"/>
  <c r="U12" i="22"/>
  <c r="I12" i="22"/>
  <c r="L8" i="23"/>
  <c r="M10" i="22" s="1"/>
  <c r="AB21" i="23"/>
  <c r="AE21" i="23" s="1"/>
  <c r="G33" i="23"/>
  <c r="J33" i="23" s="1"/>
  <c r="AK61" i="23"/>
  <c r="S61" i="23" s="1"/>
  <c r="C8" i="22"/>
  <c r="C10" i="22"/>
  <c r="H11" i="22"/>
  <c r="M7" i="23"/>
  <c r="P7" i="23" s="1"/>
  <c r="M15" i="23"/>
  <c r="P15" i="23" s="1"/>
  <c r="G17" i="23"/>
  <c r="J17" i="23" s="1"/>
  <c r="V17" i="23"/>
  <c r="AW17" i="23" s="1"/>
  <c r="X20" i="23"/>
  <c r="AA22" i="23"/>
  <c r="AD22" i="23" s="1"/>
  <c r="X22" i="23"/>
  <c r="Y23" i="23"/>
  <c r="V25" i="23"/>
  <c r="AW25" i="23" s="1"/>
  <c r="AB25" i="23"/>
  <c r="AE25" i="23" s="1"/>
  <c r="Y33" i="23"/>
  <c r="AH61" i="23"/>
  <c r="AN61" i="23" s="1"/>
  <c r="AT61" i="23" s="1"/>
  <c r="AQ61" i="23"/>
  <c r="D7" i="22"/>
  <c r="I8" i="22"/>
  <c r="D9" i="22"/>
  <c r="D11" i="22"/>
  <c r="K12" i="22"/>
  <c r="M13" i="23"/>
  <c r="P13" i="23" s="1"/>
  <c r="G25" i="23"/>
  <c r="AQ25" i="23" s="1"/>
  <c r="H7" i="22"/>
  <c r="R7" i="22"/>
  <c r="AA16" i="23"/>
  <c r="AD16" i="23" s="1"/>
  <c r="AA20" i="23"/>
  <c r="AD20" i="23" s="1"/>
  <c r="G21" i="23"/>
  <c r="J21" i="23" s="1"/>
  <c r="F22" i="23"/>
  <c r="I22" i="23" s="1"/>
  <c r="G23" i="23"/>
  <c r="J23" i="23" s="1"/>
  <c r="AB23" i="23"/>
  <c r="AE23" i="23" s="1"/>
  <c r="L24" i="23"/>
  <c r="R61" i="23"/>
  <c r="BK61" i="23"/>
  <c r="BN61" i="23" s="1"/>
  <c r="J7" i="22"/>
  <c r="E8" i="22"/>
  <c r="AG33" i="23"/>
  <c r="AM33" i="23" s="1"/>
  <c r="AS33" i="23" s="1"/>
  <c r="J20" i="24"/>
  <c r="K18" i="24"/>
  <c r="T19" i="24"/>
  <c r="K20" i="24"/>
  <c r="S18" i="24"/>
  <c r="AK20" i="24"/>
  <c r="S20" i="24" s="1"/>
  <c r="T18" i="24"/>
  <c r="AL20" i="24"/>
  <c r="T20" i="24" s="1"/>
  <c r="AH18" i="24"/>
  <c r="AN18" i="24" s="1"/>
  <c r="AT18" i="24" s="1"/>
  <c r="AI18" i="24"/>
  <c r="AO18" i="24" s="1"/>
  <c r="AU18" i="24" s="1"/>
  <c r="Q12" i="24"/>
  <c r="T14" i="24"/>
  <c r="P14" i="24"/>
  <c r="Q14" i="24"/>
  <c r="AH12" i="24"/>
  <c r="AN12" i="24" s="1"/>
  <c r="AT12" i="24" s="1"/>
  <c r="J12" i="24"/>
  <c r="K12" i="24"/>
  <c r="S6" i="24"/>
  <c r="AI7" i="24"/>
  <c r="AO7" i="24" s="1"/>
  <c r="AU7" i="24" s="1"/>
  <c r="AH8" i="24"/>
  <c r="AN8" i="24" s="1"/>
  <c r="AT8" i="24" s="1"/>
  <c r="AO8" i="24"/>
  <c r="AU8" i="24" s="1"/>
  <c r="AK7" i="24"/>
  <c r="S7" i="24" s="1"/>
  <c r="AL7" i="24"/>
  <c r="T7" i="24" s="1"/>
  <c r="K8" i="24"/>
  <c r="AH6" i="24"/>
  <c r="AN6" i="24" s="1"/>
  <c r="AT6" i="24" s="1"/>
  <c r="AI6" i="24"/>
  <c r="AO6" i="24" s="1"/>
  <c r="AU6" i="24" s="1"/>
  <c r="P6" i="24"/>
  <c r="Q6" i="24"/>
  <c r="AI5" i="24"/>
  <c r="AO5" i="24" s="1"/>
  <c r="Y5" i="24"/>
  <c r="AB5" i="24"/>
  <c r="AE5" i="24" s="1"/>
  <c r="G5" i="24"/>
  <c r="J5" i="24" s="1"/>
  <c r="AW5" i="24"/>
  <c r="M5" i="24"/>
  <c r="P5" i="24" s="1"/>
  <c r="AO17" i="24"/>
  <c r="AU17" i="24" s="1"/>
  <c r="AQ7" i="24"/>
  <c r="J8" i="24"/>
  <c r="AW11" i="24"/>
  <c r="P12" i="24"/>
  <c r="AK13" i="24"/>
  <c r="S13" i="24" s="1"/>
  <c r="AN14" i="24"/>
  <c r="AT14" i="24" s="1"/>
  <c r="AQ17" i="24"/>
  <c r="AW19" i="24"/>
  <c r="AL5" i="24"/>
  <c r="T5" i="24" s="1"/>
  <c r="AI12" i="24"/>
  <c r="AO12" i="24" s="1"/>
  <c r="AO14" i="24"/>
  <c r="AU14" i="24" s="1"/>
  <c r="AQ6" i="24"/>
  <c r="AW8" i="24"/>
  <c r="P11" i="24"/>
  <c r="AQ14" i="24"/>
  <c r="AW18" i="24"/>
  <c r="P19" i="24"/>
  <c r="AQ39" i="24"/>
  <c r="AR6" i="24"/>
  <c r="K7" i="24"/>
  <c r="AX8" i="24"/>
  <c r="Q11" i="24"/>
  <c r="AR14" i="24"/>
  <c r="K17" i="24"/>
  <c r="Q19" i="24"/>
  <c r="AR39" i="24"/>
  <c r="AL13" i="24"/>
  <c r="T13" i="24" s="1"/>
  <c r="AW7" i="24"/>
  <c r="P8" i="24"/>
  <c r="AQ13" i="24"/>
  <c r="AW17" i="24"/>
  <c r="P18" i="24"/>
  <c r="AR5" i="24"/>
  <c r="AX7" i="24"/>
  <c r="Q8" i="24"/>
  <c r="AR13" i="24"/>
  <c r="AX17" i="24"/>
  <c r="Q18" i="24"/>
  <c r="AQ11" i="24"/>
  <c r="AQ19" i="24"/>
  <c r="P39" i="24"/>
  <c r="AR19" i="24"/>
  <c r="AR11" i="24"/>
  <c r="R33" i="23"/>
  <c r="F21" i="23"/>
  <c r="I21" i="23" s="1"/>
  <c r="L21" i="23"/>
  <c r="O8" i="22" s="1"/>
  <c r="G20" i="23"/>
  <c r="J20" i="23" s="1"/>
  <c r="X21" i="23"/>
  <c r="AG21" i="23" s="1"/>
  <c r="Y20" i="23"/>
  <c r="AH20" i="23" s="1"/>
  <c r="U12" i="23"/>
  <c r="AV12" i="23" s="1"/>
  <c r="AB5" i="23"/>
  <c r="AE5" i="23" s="1"/>
  <c r="U5" i="23"/>
  <c r="AV5" i="23" s="1"/>
  <c r="AJ6" i="23"/>
  <c r="O6" i="23"/>
  <c r="AJ12" i="23"/>
  <c r="O12" i="23"/>
  <c r="AJ5" i="23"/>
  <c r="O5" i="23"/>
  <c r="O7" i="23"/>
  <c r="U28" i="23"/>
  <c r="AV28" i="23" s="1"/>
  <c r="U29" i="23"/>
  <c r="U30" i="23"/>
  <c r="AV30" i="23" s="1"/>
  <c r="U31" i="23"/>
  <c r="AV31" i="23" s="1"/>
  <c r="U32" i="23"/>
  <c r="AP33" i="23"/>
  <c r="I61" i="23"/>
  <c r="P5" i="23"/>
  <c r="P9" i="23"/>
  <c r="V28" i="23"/>
  <c r="AW28" i="23" s="1"/>
  <c r="V29" i="23"/>
  <c r="V30" i="23"/>
  <c r="V31" i="23"/>
  <c r="V32" i="23"/>
  <c r="J61" i="23"/>
  <c r="U20" i="23"/>
  <c r="U21" i="23"/>
  <c r="U22" i="23"/>
  <c r="U23" i="23"/>
  <c r="U24" i="23"/>
  <c r="F28" i="23"/>
  <c r="X28" i="23"/>
  <c r="AG28" i="23" s="1"/>
  <c r="F29" i="23"/>
  <c r="X29" i="23"/>
  <c r="AG29" i="23" s="1"/>
  <c r="F30" i="23"/>
  <c r="X30" i="23"/>
  <c r="F31" i="23"/>
  <c r="X31" i="23"/>
  <c r="F32" i="23"/>
  <c r="X32" i="23"/>
  <c r="AG32" i="23" s="1"/>
  <c r="AV61" i="23"/>
  <c r="V20" i="23"/>
  <c r="V21" i="23"/>
  <c r="V22" i="23"/>
  <c r="V23" i="23"/>
  <c r="V24" i="23"/>
  <c r="G28" i="23"/>
  <c r="Y28" i="23"/>
  <c r="G29" i="23"/>
  <c r="Y29" i="23"/>
  <c r="G30" i="23"/>
  <c r="Y30" i="23"/>
  <c r="G31" i="23"/>
  <c r="Y31" i="23"/>
  <c r="G32" i="23"/>
  <c r="Y32" i="23"/>
  <c r="AW61" i="23"/>
  <c r="U9" i="23"/>
  <c r="U14" i="23"/>
  <c r="U15" i="23"/>
  <c r="U8" i="23"/>
  <c r="V5" i="23"/>
  <c r="V6" i="23"/>
  <c r="V7" i="23"/>
  <c r="V8" i="23"/>
  <c r="V9" i="23"/>
  <c r="V12" i="23"/>
  <c r="V13" i="23"/>
  <c r="V14" i="23"/>
  <c r="V15" i="23"/>
  <c r="V16" i="23"/>
  <c r="AB28" i="23"/>
  <c r="AE28" i="23" s="1"/>
  <c r="AB29" i="23"/>
  <c r="AE29" i="23" s="1"/>
  <c r="AB30" i="23"/>
  <c r="AE30" i="23" s="1"/>
  <c r="AB31" i="23"/>
  <c r="AE31" i="23" s="1"/>
  <c r="AB32" i="23"/>
  <c r="AE32" i="23" s="1"/>
  <c r="F5" i="23"/>
  <c r="X5" i="23"/>
  <c r="F6" i="23"/>
  <c r="X6" i="23"/>
  <c r="F7" i="23"/>
  <c r="X7" i="23"/>
  <c r="F8" i="23"/>
  <c r="X8" i="23"/>
  <c r="AG8" i="23" s="1"/>
  <c r="F9" i="23"/>
  <c r="X9" i="23"/>
  <c r="F12" i="23"/>
  <c r="X12" i="23"/>
  <c r="F13" i="23"/>
  <c r="X13" i="23"/>
  <c r="F14" i="23"/>
  <c r="X14" i="23"/>
  <c r="AG14" i="23" s="1"/>
  <c r="F15" i="23"/>
  <c r="X15" i="23"/>
  <c r="F16" i="23"/>
  <c r="X16" i="23"/>
  <c r="AD25" i="23"/>
  <c r="L28" i="23"/>
  <c r="P7" i="22" s="1"/>
  <c r="L29" i="23"/>
  <c r="P8" i="22" s="1"/>
  <c r="L30" i="23"/>
  <c r="P9" i="22" s="1"/>
  <c r="L31" i="23"/>
  <c r="P10" i="22" s="1"/>
  <c r="L32" i="23"/>
  <c r="P11" i="22" s="1"/>
  <c r="O33" i="23"/>
  <c r="U7" i="23"/>
  <c r="G5" i="23"/>
  <c r="S5" i="23" s="1"/>
  <c r="Y5" i="23"/>
  <c r="G6" i="23"/>
  <c r="Y6" i="23"/>
  <c r="AH6" i="23" s="1"/>
  <c r="G7" i="23"/>
  <c r="Y7" i="23"/>
  <c r="G8" i="23"/>
  <c r="Y8" i="23"/>
  <c r="G9" i="23"/>
  <c r="Y9" i="23"/>
  <c r="G12" i="23"/>
  <c r="Y12" i="23"/>
  <c r="G13" i="23"/>
  <c r="Y13" i="23"/>
  <c r="AH13" i="23" s="1"/>
  <c r="G14" i="23"/>
  <c r="Y14" i="23"/>
  <c r="G15" i="23"/>
  <c r="Y15" i="23"/>
  <c r="G16" i="23"/>
  <c r="Y16" i="23"/>
  <c r="M28" i="23"/>
  <c r="U7" i="22" s="1"/>
  <c r="M29" i="23"/>
  <c r="U8" i="22" s="1"/>
  <c r="M30" i="23"/>
  <c r="U9" i="22" s="1"/>
  <c r="M31" i="23"/>
  <c r="U10" i="22" s="1"/>
  <c r="M32" i="23"/>
  <c r="U11" i="22" s="1"/>
  <c r="P33" i="23"/>
  <c r="U6" i="23"/>
  <c r="U13" i="23"/>
  <c r="AA5" i="23"/>
  <c r="AD5" i="23" s="1"/>
  <c r="AA12" i="23"/>
  <c r="AD12" i="23" s="1"/>
  <c r="M20" i="23"/>
  <c r="T7" i="22" s="1"/>
  <c r="M21" i="23"/>
  <c r="T8" i="22" s="1"/>
  <c r="M22" i="23"/>
  <c r="T9" i="22" s="1"/>
  <c r="M23" i="23"/>
  <c r="T10" i="22" s="1"/>
  <c r="M24" i="23"/>
  <c r="T11" i="22" s="1"/>
  <c r="AG15" i="23" l="1"/>
  <c r="AM15" i="23" s="1"/>
  <c r="AS15" i="23" s="1"/>
  <c r="S6" i="23"/>
  <c r="AH33" i="23"/>
  <c r="R22" i="23"/>
  <c r="O15" i="23"/>
  <c r="AH7" i="23"/>
  <c r="AN7" i="23" s="1"/>
  <c r="AT7" i="23" s="1"/>
  <c r="AH14" i="23"/>
  <c r="R8" i="22"/>
  <c r="O9" i="23"/>
  <c r="AH9" i="23"/>
  <c r="AN9" i="23" s="1"/>
  <c r="AT9" i="23" s="1"/>
  <c r="P8" i="23"/>
  <c r="AJ9" i="23"/>
  <c r="R9" i="23" s="1"/>
  <c r="P6" i="23"/>
  <c r="AJ16" i="23"/>
  <c r="O14" i="23"/>
  <c r="O7" i="22"/>
  <c r="AG22" i="23"/>
  <c r="AM22" i="23" s="1"/>
  <c r="AG31" i="23"/>
  <c r="AM31" i="23" s="1"/>
  <c r="AS31" i="23" s="1"/>
  <c r="O20" i="23"/>
  <c r="S7" i="22"/>
  <c r="P12" i="23"/>
  <c r="AH16" i="23"/>
  <c r="AN16" i="23" s="1"/>
  <c r="AT16" i="23" s="1"/>
  <c r="AP17" i="23"/>
  <c r="AP24" i="23"/>
  <c r="S14" i="23"/>
  <c r="AG17" i="23"/>
  <c r="AH8" i="23"/>
  <c r="AN8" i="23" s="1"/>
  <c r="AT8" i="23" s="1"/>
  <c r="O22" i="23"/>
  <c r="AQ24" i="23"/>
  <c r="AH30" i="23"/>
  <c r="AN30" i="23" s="1"/>
  <c r="AT30" i="23" s="1"/>
  <c r="AQ17" i="23"/>
  <c r="AK17" i="23"/>
  <c r="S17" i="23" s="1"/>
  <c r="S12" i="22"/>
  <c r="AP23" i="23"/>
  <c r="AH12" i="23"/>
  <c r="AN12" i="23" s="1"/>
  <c r="AT12" i="23" s="1"/>
  <c r="AP20" i="23"/>
  <c r="AM25" i="23"/>
  <c r="AS25" i="23" s="1"/>
  <c r="S12" i="23"/>
  <c r="AG30" i="23"/>
  <c r="AM30" i="23" s="1"/>
  <c r="AS30" i="23" s="1"/>
  <c r="R20" i="23"/>
  <c r="BA39" i="24"/>
  <c r="BD39" i="24" s="1"/>
  <c r="BA14" i="24"/>
  <c r="BD14" i="24" s="1"/>
  <c r="AT11" i="24"/>
  <c r="AZ11" i="24"/>
  <c r="BC11" i="24" s="1"/>
  <c r="AK5" i="24"/>
  <c r="S5" i="24" s="1"/>
  <c r="BA13" i="24"/>
  <c r="BD13" i="24" s="1"/>
  <c r="AG13" i="23"/>
  <c r="AM13" i="23" s="1"/>
  <c r="AS13" i="23" s="1"/>
  <c r="R23" i="23"/>
  <c r="AH22" i="23"/>
  <c r="AN22" i="23" s="1"/>
  <c r="AT22" i="23" s="1"/>
  <c r="AK25" i="23"/>
  <c r="S25" i="23" s="1"/>
  <c r="AH15" i="23"/>
  <c r="AN15" i="23" s="1"/>
  <c r="AT15" i="23" s="1"/>
  <c r="AJ14" i="23"/>
  <c r="R14" i="23" s="1"/>
  <c r="T12" i="22"/>
  <c r="S9" i="23"/>
  <c r="P14" i="23"/>
  <c r="AG24" i="23"/>
  <c r="AM24" i="23" s="1"/>
  <c r="R10" i="22"/>
  <c r="AJ15" i="23"/>
  <c r="R15" i="23" s="1"/>
  <c r="I25" i="23"/>
  <c r="AG6" i="23"/>
  <c r="AM6" i="23" s="1"/>
  <c r="AS6" i="23" s="1"/>
  <c r="AP22" i="23"/>
  <c r="S9" i="22"/>
  <c r="AH23" i="23"/>
  <c r="R17" i="23"/>
  <c r="O13" i="23"/>
  <c r="AJ13" i="23"/>
  <c r="R13" i="23" s="1"/>
  <c r="O8" i="23"/>
  <c r="AG23" i="23"/>
  <c r="AM23" i="23" s="1"/>
  <c r="J25" i="23"/>
  <c r="O23" i="23"/>
  <c r="O10" i="22"/>
  <c r="O9" i="22"/>
  <c r="AJ25" i="23"/>
  <c r="R25" i="23" s="1"/>
  <c r="O12" i="22"/>
  <c r="O17" i="23"/>
  <c r="AG9" i="23"/>
  <c r="AM9" i="23" s="1"/>
  <c r="AS9" i="23" s="1"/>
  <c r="AG16" i="23"/>
  <c r="AM16" i="23" s="1"/>
  <c r="AS16" i="23" s="1"/>
  <c r="AJ8" i="23"/>
  <c r="R8" i="23" s="1"/>
  <c r="N12" i="22"/>
  <c r="AH5" i="23"/>
  <c r="AN5" i="23" s="1"/>
  <c r="AT5" i="23" s="1"/>
  <c r="AG7" i="23"/>
  <c r="AM7" i="23" s="1"/>
  <c r="AS7" i="23" s="1"/>
  <c r="AQ22" i="23"/>
  <c r="P16" i="23"/>
  <c r="AQ21" i="23"/>
  <c r="AN17" i="23"/>
  <c r="AT17" i="23" s="1"/>
  <c r="S11" i="22"/>
  <c r="O16" i="23"/>
  <c r="AM17" i="23"/>
  <c r="AS17" i="23" s="1"/>
  <c r="AH24" i="23"/>
  <c r="AN24" i="23" s="1"/>
  <c r="AT17" i="24"/>
  <c r="AZ17" i="24"/>
  <c r="BC17" i="24" s="1"/>
  <c r="AU5" i="24"/>
  <c r="BA5" i="24"/>
  <c r="BD5" i="24" s="1"/>
  <c r="BA8" i="24"/>
  <c r="BD8" i="24" s="1"/>
  <c r="BA20" i="24"/>
  <c r="BD20" i="24" s="1"/>
  <c r="AZ19" i="24"/>
  <c r="BC19" i="24" s="1"/>
  <c r="AZ8" i="24"/>
  <c r="BC8" i="24" s="1"/>
  <c r="AZ18" i="24"/>
  <c r="BC18" i="24" s="1"/>
  <c r="AN23" i="23"/>
  <c r="AT23" i="23" s="1"/>
  <c r="AQ23" i="23"/>
  <c r="AZ61" i="23"/>
  <c r="BC61" i="23" s="1"/>
  <c r="AH25" i="23"/>
  <c r="AN25" i="23" s="1"/>
  <c r="AT25" i="23" s="1"/>
  <c r="AK13" i="23"/>
  <c r="S13" i="23" s="1"/>
  <c r="S8" i="22"/>
  <c r="AK15" i="23"/>
  <c r="S15" i="23" s="1"/>
  <c r="S10" i="22"/>
  <c r="AH21" i="23"/>
  <c r="AN21" i="23" s="1"/>
  <c r="AN33" i="23"/>
  <c r="AT33" i="23" s="1"/>
  <c r="S33" i="23"/>
  <c r="AH31" i="23"/>
  <c r="AQ33" i="23"/>
  <c r="AY17" i="23"/>
  <c r="BB17" i="23" s="1"/>
  <c r="AJ24" i="23"/>
  <c r="R24" i="23" s="1"/>
  <c r="O11" i="22"/>
  <c r="O24" i="23"/>
  <c r="AG20" i="23"/>
  <c r="AM20" i="23" s="1"/>
  <c r="AK7" i="23"/>
  <c r="S7" i="23" s="1"/>
  <c r="R9" i="22"/>
  <c r="BA17" i="24"/>
  <c r="BD17" i="24" s="1"/>
  <c r="AZ20" i="24"/>
  <c r="BC20" i="24" s="1"/>
  <c r="BA11" i="24"/>
  <c r="BD11" i="24" s="1"/>
  <c r="BA7" i="24"/>
  <c r="BD7" i="24" s="1"/>
  <c r="AQ5" i="24"/>
  <c r="AH5" i="24"/>
  <c r="AN5" i="24" s="1"/>
  <c r="AT5" i="24" s="1"/>
  <c r="AU12" i="24"/>
  <c r="BA12" i="24"/>
  <c r="BD12" i="24" s="1"/>
  <c r="AZ39" i="24"/>
  <c r="BC39" i="24" s="1"/>
  <c r="BA18" i="24"/>
  <c r="BD18" i="24" s="1"/>
  <c r="BA19" i="24"/>
  <c r="BD19" i="24" s="1"/>
  <c r="BA6" i="24"/>
  <c r="BD6" i="24" s="1"/>
  <c r="AZ12" i="24"/>
  <c r="BC12" i="24" s="1"/>
  <c r="AZ13" i="24"/>
  <c r="BC13" i="24" s="1"/>
  <c r="AZ6" i="24"/>
  <c r="BC6" i="24" s="1"/>
  <c r="AZ14" i="24"/>
  <c r="BC14" i="24" s="1"/>
  <c r="AZ7" i="24"/>
  <c r="BC7" i="24" s="1"/>
  <c r="AY33" i="23"/>
  <c r="BB33" i="23" s="1"/>
  <c r="AH28" i="23"/>
  <c r="AN28" i="23" s="1"/>
  <c r="AT28" i="23" s="1"/>
  <c r="AP21" i="23"/>
  <c r="AW24" i="23"/>
  <c r="AJ21" i="23"/>
  <c r="R21" i="23" s="1"/>
  <c r="O21" i="23"/>
  <c r="AW23" i="23"/>
  <c r="AQ20" i="23"/>
  <c r="AN20" i="23"/>
  <c r="AW21" i="23"/>
  <c r="R12" i="23"/>
  <c r="R7" i="23"/>
  <c r="I5" i="23"/>
  <c r="AP5" i="23"/>
  <c r="P28" i="23"/>
  <c r="AK28" i="23"/>
  <c r="S28" i="23" s="1"/>
  <c r="O30" i="23"/>
  <c r="AJ30" i="23"/>
  <c r="R30" i="23" s="1"/>
  <c r="AG12" i="23"/>
  <c r="AM12" i="23" s="1"/>
  <c r="AS12" i="23" s="1"/>
  <c r="AW15" i="23"/>
  <c r="J30" i="23"/>
  <c r="AQ30" i="23"/>
  <c r="AN31" i="23"/>
  <c r="AT31" i="23" s="1"/>
  <c r="AW20" i="23"/>
  <c r="J16" i="23"/>
  <c r="AQ16" i="23"/>
  <c r="J8" i="23"/>
  <c r="AQ8" i="23"/>
  <c r="O29" i="23"/>
  <c r="AJ29" i="23"/>
  <c r="R29" i="23" s="1"/>
  <c r="I12" i="23"/>
  <c r="AP12" i="23"/>
  <c r="AN14" i="23"/>
  <c r="AT14" i="23" s="1"/>
  <c r="AW14" i="23"/>
  <c r="AH29" i="23"/>
  <c r="AN29" i="23" s="1"/>
  <c r="AT29" i="23" s="1"/>
  <c r="I28" i="23"/>
  <c r="AP28" i="23"/>
  <c r="R5" i="23"/>
  <c r="R6" i="23"/>
  <c r="I13" i="23"/>
  <c r="AP13" i="23"/>
  <c r="O28" i="23"/>
  <c r="AJ28" i="23"/>
  <c r="R28" i="23" s="1"/>
  <c r="AN13" i="23"/>
  <c r="AT13" i="23" s="1"/>
  <c r="AW13" i="23"/>
  <c r="J29" i="23"/>
  <c r="AQ29" i="23"/>
  <c r="AV24" i="23"/>
  <c r="AW32" i="23"/>
  <c r="I29" i="23"/>
  <c r="AP29" i="23"/>
  <c r="AY61" i="23"/>
  <c r="BB61" i="23" s="1"/>
  <c r="AV13" i="23"/>
  <c r="AW9" i="23"/>
  <c r="AM14" i="23"/>
  <c r="AS14" i="23" s="1"/>
  <c r="AV14" i="23"/>
  <c r="J28" i="23"/>
  <c r="AQ28" i="23"/>
  <c r="AV22" i="23"/>
  <c r="AW29" i="23"/>
  <c r="AW16" i="23"/>
  <c r="J7" i="23"/>
  <c r="AQ7" i="23"/>
  <c r="AV6" i="23"/>
  <c r="J14" i="23"/>
  <c r="AQ14" i="23"/>
  <c r="J6" i="23"/>
  <c r="AQ6" i="23"/>
  <c r="I16" i="23"/>
  <c r="AP16" i="23"/>
  <c r="I8" i="23"/>
  <c r="AP8" i="23"/>
  <c r="AW8" i="23"/>
  <c r="AV9" i="23"/>
  <c r="I32" i="23"/>
  <c r="AP32" i="23"/>
  <c r="AV21" i="23"/>
  <c r="AM21" i="23"/>
  <c r="AM32" i="23"/>
  <c r="AS32" i="23" s="1"/>
  <c r="AV32" i="23"/>
  <c r="S8" i="23"/>
  <c r="R16" i="23"/>
  <c r="AW30" i="23"/>
  <c r="J9" i="23"/>
  <c r="AQ9" i="23"/>
  <c r="J15" i="23"/>
  <c r="AQ15" i="23"/>
  <c r="I9" i="23"/>
  <c r="AP9" i="23"/>
  <c r="AW12" i="23"/>
  <c r="AV15" i="23"/>
  <c r="AV23" i="23"/>
  <c r="AK24" i="23"/>
  <c r="S24" i="23" s="1"/>
  <c r="P24" i="23"/>
  <c r="AW7" i="23"/>
  <c r="AV20" i="23"/>
  <c r="S16" i="23"/>
  <c r="AW31" i="23"/>
  <c r="AK23" i="23"/>
  <c r="S23" i="23" s="1"/>
  <c r="P23" i="23"/>
  <c r="P32" i="23"/>
  <c r="AK32" i="23"/>
  <c r="S32" i="23" s="1"/>
  <c r="J13" i="23"/>
  <c r="AQ13" i="23"/>
  <c r="J5" i="23"/>
  <c r="AQ5" i="23"/>
  <c r="I15" i="23"/>
  <c r="AP15" i="23"/>
  <c r="I7" i="23"/>
  <c r="AP7" i="23"/>
  <c r="AN6" i="23"/>
  <c r="AT6" i="23" s="1"/>
  <c r="AW6" i="23"/>
  <c r="AH32" i="23"/>
  <c r="AN32" i="23" s="1"/>
  <c r="AT32" i="23" s="1"/>
  <c r="I31" i="23"/>
  <c r="AP31" i="23"/>
  <c r="AK22" i="23"/>
  <c r="S22" i="23" s="1"/>
  <c r="P22" i="23"/>
  <c r="P31" i="23"/>
  <c r="AK31" i="23"/>
  <c r="S31" i="23" s="1"/>
  <c r="AV7" i="23"/>
  <c r="AW5" i="23"/>
  <c r="J32" i="23"/>
  <c r="AQ32" i="23"/>
  <c r="AM29" i="23"/>
  <c r="AS29" i="23" s="1"/>
  <c r="AV29" i="23"/>
  <c r="AK21" i="23"/>
  <c r="S21" i="23" s="1"/>
  <c r="P21" i="23"/>
  <c r="P30" i="23"/>
  <c r="AK30" i="23"/>
  <c r="S30" i="23" s="1"/>
  <c r="J12" i="23"/>
  <c r="AQ12" i="23"/>
  <c r="I14" i="23"/>
  <c r="AP14" i="23"/>
  <c r="I6" i="23"/>
  <c r="AP6" i="23"/>
  <c r="AM8" i="23"/>
  <c r="AS8" i="23" s="1"/>
  <c r="AV8" i="23"/>
  <c r="I30" i="23"/>
  <c r="AP30" i="23"/>
  <c r="AM28" i="23"/>
  <c r="AS28" i="23" s="1"/>
  <c r="O31" i="23"/>
  <c r="AJ31" i="23"/>
  <c r="R31" i="23" s="1"/>
  <c r="P20" i="23"/>
  <c r="AK20" i="23"/>
  <c r="S20" i="23" s="1"/>
  <c r="P29" i="23"/>
  <c r="AK29" i="23"/>
  <c r="S29" i="23" s="1"/>
  <c r="O32" i="23"/>
  <c r="AJ32" i="23"/>
  <c r="R32" i="23" s="1"/>
  <c r="AG5" i="23"/>
  <c r="AM5" i="23" s="1"/>
  <c r="AS5" i="23" s="1"/>
  <c r="J31" i="23"/>
  <c r="AQ31" i="23"/>
  <c r="AW22" i="23"/>
  <c r="AY25" i="23" l="1"/>
  <c r="BB25" i="23" s="1"/>
  <c r="AZ5" i="23"/>
  <c r="BC5" i="23" s="1"/>
  <c r="AZ22" i="23"/>
  <c r="BC22" i="23" s="1"/>
  <c r="AT24" i="23"/>
  <c r="AZ24" i="23"/>
  <c r="BC24" i="23" s="1"/>
  <c r="AZ17" i="23"/>
  <c r="BC17" i="23" s="1"/>
  <c r="AZ33" i="23"/>
  <c r="BC33" i="23" s="1"/>
  <c r="AT21" i="23"/>
  <c r="AZ21" i="23"/>
  <c r="BC21" i="23" s="1"/>
  <c r="AY15" i="23"/>
  <c r="BB15" i="23" s="1"/>
  <c r="AZ15" i="23"/>
  <c r="BC15" i="23" s="1"/>
  <c r="AY16" i="23"/>
  <c r="BB16" i="23" s="1"/>
  <c r="AZ30" i="23"/>
  <c r="BC30" i="23" s="1"/>
  <c r="AZ25" i="23"/>
  <c r="BC25" i="23" s="1"/>
  <c r="AZ23" i="23"/>
  <c r="BC23" i="23" s="1"/>
  <c r="AZ5" i="24"/>
  <c r="BC5" i="24" s="1"/>
  <c r="AY28" i="23"/>
  <c r="BB28" i="23" s="1"/>
  <c r="AY31" i="23"/>
  <c r="BB31" i="23" s="1"/>
  <c r="AZ31" i="23"/>
  <c r="BC31" i="23" s="1"/>
  <c r="AT20" i="23"/>
  <c r="AZ20" i="23"/>
  <c r="BC20" i="23" s="1"/>
  <c r="AZ9" i="23"/>
  <c r="BC9" i="23" s="1"/>
  <c r="AY6" i="23"/>
  <c r="BB6" i="23" s="1"/>
  <c r="AZ6" i="23"/>
  <c r="BC6" i="23" s="1"/>
  <c r="AZ13" i="23"/>
  <c r="BC13" i="23" s="1"/>
  <c r="AZ29" i="23"/>
  <c r="BC29" i="23" s="1"/>
  <c r="AZ32" i="23"/>
  <c r="BC32" i="23" s="1"/>
  <c r="AY14" i="23"/>
  <c r="BB14" i="23" s="1"/>
  <c r="AY32" i="23"/>
  <c r="BB32" i="23" s="1"/>
  <c r="AZ14" i="23"/>
  <c r="BC14" i="23" s="1"/>
  <c r="AY12" i="23"/>
  <c r="BB12" i="23" s="1"/>
  <c r="AS20" i="23"/>
  <c r="AY20" i="23"/>
  <c r="BB20" i="23" s="1"/>
  <c r="AS22" i="23"/>
  <c r="AY22" i="23"/>
  <c r="BB22" i="23" s="1"/>
  <c r="AZ28" i="23"/>
  <c r="BC28" i="23" s="1"/>
  <c r="AY29" i="23"/>
  <c r="BB29" i="23" s="1"/>
  <c r="AZ12" i="23"/>
  <c r="BC12" i="23" s="1"/>
  <c r="AS23" i="23"/>
  <c r="AY23" i="23"/>
  <c r="BB23" i="23" s="1"/>
  <c r="AZ8" i="23"/>
  <c r="BC8" i="23" s="1"/>
  <c r="AY7" i="23"/>
  <c r="BB7" i="23" s="1"/>
  <c r="AZ7" i="23"/>
  <c r="BC7" i="23" s="1"/>
  <c r="AS24" i="23"/>
  <c r="AY24" i="23"/>
  <c r="BB24" i="23" s="1"/>
  <c r="AY13" i="23"/>
  <c r="BB13" i="23" s="1"/>
  <c r="AY30" i="23"/>
  <c r="BB30" i="23" s="1"/>
  <c r="AY8" i="23"/>
  <c r="BB8" i="23" s="1"/>
  <c r="AZ16" i="23"/>
  <c r="BC16" i="23" s="1"/>
  <c r="AY9" i="23"/>
  <c r="BB9" i="23" s="1"/>
  <c r="AS21" i="23"/>
  <c r="AY21" i="23"/>
  <c r="BB21" i="23" s="1"/>
  <c r="AY5" i="23"/>
  <c r="BB5" i="23" s="1"/>
  <c r="P20" i="22" l="1"/>
  <c r="AM12" i="22"/>
  <c r="AM36" i="22" s="1"/>
  <c r="K19" i="22"/>
  <c r="AC11" i="22"/>
  <c r="E41" i="22"/>
  <c r="AI41" i="22" s="1"/>
  <c r="K32" i="22"/>
  <c r="H16" i="22"/>
  <c r="E24" i="22"/>
  <c r="C32" i="22"/>
  <c r="AG52" i="22"/>
  <c r="AG44" i="22"/>
  <c r="W44" i="22"/>
  <c r="M44" i="22"/>
  <c r="C44" i="22"/>
  <c r="AB36" i="22"/>
  <c r="W36" i="22"/>
  <c r="R36" i="22"/>
  <c r="M36" i="22"/>
  <c r="H36" i="22"/>
  <c r="C36" i="22"/>
  <c r="AB28" i="22"/>
  <c r="W28" i="22"/>
  <c r="R28" i="22"/>
  <c r="M28" i="22"/>
  <c r="H28" i="22"/>
  <c r="C28" i="22"/>
  <c r="AB20" i="22"/>
  <c r="W20" i="22"/>
  <c r="W52" i="22" s="1"/>
  <c r="R20" i="22"/>
  <c r="M20" i="22"/>
  <c r="M52" i="22" s="1"/>
  <c r="H20" i="22"/>
  <c r="C20" i="22"/>
  <c r="C52" i="22" s="1"/>
  <c r="AJ12" i="22"/>
  <c r="AN12" i="22"/>
  <c r="F36" i="22"/>
  <c r="AY8" i="22"/>
  <c r="AW8" i="22"/>
  <c r="AY7" i="22"/>
  <c r="AW7" i="22"/>
  <c r="B3" i="22"/>
  <c r="B5" i="22" s="1"/>
  <c r="AB19" i="21"/>
  <c r="AE19" i="21" s="1"/>
  <c r="W11" i="21"/>
  <c r="AH40" i="21"/>
  <c r="AC40" i="21"/>
  <c r="AF40" i="21" s="1"/>
  <c r="AB40" i="21"/>
  <c r="AE40" i="21" s="1"/>
  <c r="Z40" i="21"/>
  <c r="Y40" i="21"/>
  <c r="W40" i="21"/>
  <c r="AX40" i="21" s="1"/>
  <c r="V40" i="21"/>
  <c r="AW40" i="21" s="1"/>
  <c r="Q40" i="21"/>
  <c r="P40" i="21"/>
  <c r="N40" i="21"/>
  <c r="AL40" i="21" s="1"/>
  <c r="T40" i="21" s="1"/>
  <c r="M40" i="21"/>
  <c r="AK40" i="21" s="1"/>
  <c r="S40" i="21" s="1"/>
  <c r="K40" i="21"/>
  <c r="J40" i="21"/>
  <c r="H40" i="21"/>
  <c r="AR40" i="21" s="1"/>
  <c r="G40" i="21"/>
  <c r="AQ40" i="21" s="1"/>
  <c r="AX38" i="21"/>
  <c r="AW38" i="21"/>
  <c r="AF38" i="21"/>
  <c r="AE38" i="21"/>
  <c r="AC38" i="21"/>
  <c r="AB38" i="21"/>
  <c r="Z38" i="21"/>
  <c r="AI38" i="21" s="1"/>
  <c r="Y38" i="21"/>
  <c r="AH38" i="21" s="1"/>
  <c r="W38" i="21"/>
  <c r="AO38" i="21" s="1"/>
  <c r="AU38" i="21" s="1"/>
  <c r="V38" i="21"/>
  <c r="AN38" i="21" s="1"/>
  <c r="AT38" i="21" s="1"/>
  <c r="N38" i="21"/>
  <c r="Q38" i="21" s="1"/>
  <c r="M38" i="21"/>
  <c r="P38" i="21" s="1"/>
  <c r="H38" i="21"/>
  <c r="K38" i="21" s="1"/>
  <c r="G38" i="21"/>
  <c r="J38" i="21" s="1"/>
  <c r="AB20" i="21"/>
  <c r="AE20" i="21" s="1"/>
  <c r="Y20" i="21"/>
  <c r="V20" i="21"/>
  <c r="AW20" i="21" s="1"/>
  <c r="W19" i="21"/>
  <c r="V19" i="21"/>
  <c r="H19" i="21"/>
  <c r="K19" i="21" s="1"/>
  <c r="G19" i="21"/>
  <c r="J19" i="21" s="1"/>
  <c r="AB18" i="21"/>
  <c r="AE18" i="21" s="1"/>
  <c r="Y18" i="21"/>
  <c r="AC14" i="21"/>
  <c r="AF14" i="21" s="1"/>
  <c r="AB14" i="21"/>
  <c r="AE14" i="21" s="1"/>
  <c r="Y14" i="21"/>
  <c r="V14" i="21"/>
  <c r="AW14" i="21" s="1"/>
  <c r="N14" i="21"/>
  <c r="AL14" i="21" s="1"/>
  <c r="M14" i="21"/>
  <c r="AK14" i="21" s="1"/>
  <c r="H14" i="21"/>
  <c r="AR14" i="21" s="1"/>
  <c r="G14" i="21"/>
  <c r="AQ14" i="21" s="1"/>
  <c r="AC13" i="21"/>
  <c r="AF13" i="21" s="1"/>
  <c r="W13" i="21"/>
  <c r="H13" i="21"/>
  <c r="K13" i="21" s="1"/>
  <c r="Z12" i="21"/>
  <c r="Y12" i="21"/>
  <c r="W12" i="21"/>
  <c r="AX12" i="21" s="1"/>
  <c r="V12" i="21"/>
  <c r="AW12" i="21" s="1"/>
  <c r="N12" i="21"/>
  <c r="AL12" i="21" s="1"/>
  <c r="M12" i="21"/>
  <c r="AK12" i="21" s="1"/>
  <c r="K12" i="21"/>
  <c r="H12" i="21"/>
  <c r="AR12" i="21" s="1"/>
  <c r="AC8" i="21"/>
  <c r="AF8" i="21" s="1"/>
  <c r="AB8" i="21"/>
  <c r="AE8" i="21" s="1"/>
  <c r="Z8" i="21"/>
  <c r="Y8" i="21"/>
  <c r="W8" i="21"/>
  <c r="AX8" i="21" s="1"/>
  <c r="V8" i="21"/>
  <c r="AW8" i="21" s="1"/>
  <c r="Q8" i="21"/>
  <c r="N8" i="21"/>
  <c r="AL8" i="21" s="1"/>
  <c r="H8" i="21"/>
  <c r="AR8" i="21" s="1"/>
  <c r="G8" i="21"/>
  <c r="AQ8" i="21" s="1"/>
  <c r="AB6" i="21"/>
  <c r="AE6" i="21" s="1"/>
  <c r="G6" i="21"/>
  <c r="AQ6" i="21" s="1"/>
  <c r="AC5" i="21"/>
  <c r="AF5" i="21" s="1"/>
  <c r="F32" i="22"/>
  <c r="V29" i="20"/>
  <c r="AW29" i="20" s="1"/>
  <c r="F33" i="22"/>
  <c r="Y30" i="20"/>
  <c r="F34" i="22"/>
  <c r="AB31" i="20"/>
  <c r="AE31" i="20" s="1"/>
  <c r="AA32" i="20"/>
  <c r="AD32" i="20" s="1"/>
  <c r="Y32" i="20"/>
  <c r="X28" i="20"/>
  <c r="Y24" i="20"/>
  <c r="Y23" i="20"/>
  <c r="AA23" i="20"/>
  <c r="AD23" i="20" s="1"/>
  <c r="M22" i="20"/>
  <c r="J40" i="22"/>
  <c r="AN40" i="22" s="1"/>
  <c r="AA21" i="20"/>
  <c r="AD21" i="20" s="1"/>
  <c r="AB20" i="20"/>
  <c r="E47" i="22"/>
  <c r="AI47" i="22" s="1"/>
  <c r="AA14" i="20"/>
  <c r="AD14" i="20" s="1"/>
  <c r="AB14" i="20"/>
  <c r="AE14" i="20" s="1"/>
  <c r="L15" i="20"/>
  <c r="AM10" i="22"/>
  <c r="AA16" i="20"/>
  <c r="AD16" i="20" s="1"/>
  <c r="Y16" i="20"/>
  <c r="M12" i="20"/>
  <c r="F12" i="20"/>
  <c r="AP12" i="20" s="1"/>
  <c r="Y7" i="20"/>
  <c r="C26" i="22"/>
  <c r="X9" i="20"/>
  <c r="Y9" i="20"/>
  <c r="M5" i="20"/>
  <c r="AK5" i="20" s="1"/>
  <c r="AA5" i="20"/>
  <c r="AD5" i="20" s="1"/>
  <c r="AB63" i="20"/>
  <c r="AH63" i="20" s="1"/>
  <c r="AA63" i="20"/>
  <c r="AD63" i="20" s="1"/>
  <c r="Y63" i="20"/>
  <c r="X63" i="20"/>
  <c r="AG63" i="20" s="1"/>
  <c r="V63" i="20"/>
  <c r="AN63" i="20" s="1"/>
  <c r="AT63" i="20" s="1"/>
  <c r="U63" i="20"/>
  <c r="P63" i="20"/>
  <c r="M63" i="20"/>
  <c r="AK63" i="20" s="1"/>
  <c r="S63" i="20" s="1"/>
  <c r="L63" i="20"/>
  <c r="J63" i="20"/>
  <c r="AZ63" i="20" s="1"/>
  <c r="BC63" i="20" s="1"/>
  <c r="G63" i="20"/>
  <c r="AQ63" i="20" s="1"/>
  <c r="F63" i="20"/>
  <c r="AB62" i="20"/>
  <c r="AH62" i="20" s="1"/>
  <c r="AA62" i="20"/>
  <c r="AD62" i="20" s="1"/>
  <c r="Y62" i="20"/>
  <c r="X62" i="20"/>
  <c r="V62" i="20"/>
  <c r="AN62" i="20" s="1"/>
  <c r="AT62" i="20" s="1"/>
  <c r="U62" i="20"/>
  <c r="J62" i="20"/>
  <c r="AZ62" i="20" s="1"/>
  <c r="BC62" i="20" s="1"/>
  <c r="I62" i="20"/>
  <c r="G62" i="20"/>
  <c r="AQ62" i="20" s="1"/>
  <c r="F62" i="20"/>
  <c r="AP62" i="20" s="1"/>
  <c r="BK61" i="20"/>
  <c r="BN61" i="20" s="1"/>
  <c r="AG61" i="20"/>
  <c r="AD61" i="20"/>
  <c r="AB61" i="20"/>
  <c r="AH61" i="20" s="1"/>
  <c r="AA61" i="20"/>
  <c r="Y61" i="20"/>
  <c r="X61" i="20"/>
  <c r="V61" i="20"/>
  <c r="AN61" i="20" s="1"/>
  <c r="AT61" i="20" s="1"/>
  <c r="U61" i="20"/>
  <c r="P61" i="20"/>
  <c r="M61" i="20"/>
  <c r="AK61" i="20" s="1"/>
  <c r="S61" i="20" s="1"/>
  <c r="L61" i="20"/>
  <c r="J61" i="20"/>
  <c r="AZ61" i="20" s="1"/>
  <c r="BC61" i="20" s="1"/>
  <c r="G61" i="20"/>
  <c r="AQ61" i="20" s="1"/>
  <c r="F61" i="20"/>
  <c r="I61" i="20" s="1"/>
  <c r="AB33" i="20"/>
  <c r="AE33" i="20" s="1"/>
  <c r="AA33" i="20"/>
  <c r="AD33" i="20" s="1"/>
  <c r="Y33" i="20"/>
  <c r="X33" i="20"/>
  <c r="V33" i="20"/>
  <c r="AW33" i="20" s="1"/>
  <c r="U33" i="20"/>
  <c r="M33" i="20"/>
  <c r="AK33" i="20" s="1"/>
  <c r="L33" i="20"/>
  <c r="G33" i="20"/>
  <c r="AQ33" i="20" s="1"/>
  <c r="F33" i="20"/>
  <c r="AP33" i="20" s="1"/>
  <c r="AB32" i="20"/>
  <c r="V32" i="20"/>
  <c r="M32" i="20"/>
  <c r="AK32" i="20" s="1"/>
  <c r="G32" i="20"/>
  <c r="AQ32" i="20" s="1"/>
  <c r="AA31" i="20"/>
  <c r="AD31" i="20" s="1"/>
  <c r="X31" i="20"/>
  <c r="AG31" i="20" s="1"/>
  <c r="U31" i="20"/>
  <c r="M31" i="20"/>
  <c r="AK31" i="20" s="1"/>
  <c r="L31" i="20"/>
  <c r="F31" i="20"/>
  <c r="I31" i="20" s="1"/>
  <c r="AA30" i="20"/>
  <c r="AD30" i="20" s="1"/>
  <c r="X30" i="20"/>
  <c r="U30" i="20"/>
  <c r="AV30" i="20" s="1"/>
  <c r="L30" i="20"/>
  <c r="AJ30" i="20" s="1"/>
  <c r="F30" i="20"/>
  <c r="AP30" i="20" s="1"/>
  <c r="M29" i="20"/>
  <c r="AK29" i="20" s="1"/>
  <c r="M28" i="20"/>
  <c r="AK28" i="20" s="1"/>
  <c r="AJ25" i="20"/>
  <c r="AD25" i="20"/>
  <c r="AB25" i="20"/>
  <c r="AE25" i="20" s="1"/>
  <c r="AA25" i="20"/>
  <c r="Y25" i="20"/>
  <c r="X25" i="20"/>
  <c r="AG25" i="20" s="1"/>
  <c r="V25" i="20"/>
  <c r="AW25" i="20" s="1"/>
  <c r="U25" i="20"/>
  <c r="AV25" i="20" s="1"/>
  <c r="M25" i="20"/>
  <c r="AK25" i="20" s="1"/>
  <c r="L25" i="20"/>
  <c r="O25" i="20" s="1"/>
  <c r="G25" i="20"/>
  <c r="AQ25" i="20" s="1"/>
  <c r="F25" i="20"/>
  <c r="AA24" i="20"/>
  <c r="AD24" i="20" s="1"/>
  <c r="X24" i="20"/>
  <c r="U24" i="20"/>
  <c r="L24" i="20"/>
  <c r="O24" i="20" s="1"/>
  <c r="F24" i="20"/>
  <c r="X23" i="20"/>
  <c r="L23" i="20"/>
  <c r="O23" i="20" s="1"/>
  <c r="AA22" i="20"/>
  <c r="AD22" i="20" s="1"/>
  <c r="X22" i="20"/>
  <c r="U22" i="20"/>
  <c r="AV22" i="20" s="1"/>
  <c r="L22" i="20"/>
  <c r="AJ22" i="20" s="1"/>
  <c r="F22" i="20"/>
  <c r="AP22" i="20" s="1"/>
  <c r="AB21" i="20"/>
  <c r="AE21" i="20" s="1"/>
  <c r="Y21" i="20"/>
  <c r="V21" i="20"/>
  <c r="AW21" i="20" s="1"/>
  <c r="M21" i="20"/>
  <c r="AK21" i="20" s="1"/>
  <c r="G21" i="20"/>
  <c r="AA20" i="20"/>
  <c r="AD20" i="20" s="1"/>
  <c r="X20" i="20"/>
  <c r="U20" i="20"/>
  <c r="AV20" i="20" s="1"/>
  <c r="L20" i="20"/>
  <c r="AJ20" i="20" s="1"/>
  <c r="F20" i="20"/>
  <c r="AP20" i="20" s="1"/>
  <c r="AV17" i="20"/>
  <c r="AD17" i="20"/>
  <c r="AB17" i="20"/>
  <c r="AE17" i="20" s="1"/>
  <c r="AA17" i="20"/>
  <c r="Y17" i="20"/>
  <c r="X17" i="20"/>
  <c r="AG17" i="20" s="1"/>
  <c r="V17" i="20"/>
  <c r="AW17" i="20" s="1"/>
  <c r="U17" i="20"/>
  <c r="M17" i="20"/>
  <c r="P17" i="20" s="1"/>
  <c r="L17" i="20"/>
  <c r="O17" i="20" s="1"/>
  <c r="G17" i="20"/>
  <c r="J17" i="20" s="1"/>
  <c r="F17" i="20"/>
  <c r="I17" i="20" s="1"/>
  <c r="AB16" i="20"/>
  <c r="AE16" i="20" s="1"/>
  <c r="X16" i="20"/>
  <c r="AG16" i="20" s="1"/>
  <c r="V16" i="20"/>
  <c r="AW16" i="20" s="1"/>
  <c r="M16" i="20"/>
  <c r="AK16" i="20" s="1"/>
  <c r="S16" i="20" s="1"/>
  <c r="G16" i="20"/>
  <c r="AQ16" i="20" s="1"/>
  <c r="AB15" i="20"/>
  <c r="AE15" i="20" s="1"/>
  <c r="Y15" i="20"/>
  <c r="AH15" i="20" s="1"/>
  <c r="V15" i="20"/>
  <c r="AW15" i="20" s="1"/>
  <c r="M15" i="20"/>
  <c r="P15" i="20" s="1"/>
  <c r="G15" i="20"/>
  <c r="J15" i="20" s="1"/>
  <c r="AB13" i="20"/>
  <c r="AE13" i="20" s="1"/>
  <c r="Y13" i="20"/>
  <c r="V13" i="20"/>
  <c r="M13" i="20"/>
  <c r="P13" i="20" s="1"/>
  <c r="G13" i="20"/>
  <c r="J13" i="20" s="1"/>
  <c r="AA12" i="20"/>
  <c r="AD12" i="20" s="1"/>
  <c r="U12" i="20"/>
  <c r="AV12" i="20" s="1"/>
  <c r="L12" i="20"/>
  <c r="AJ12" i="20" s="1"/>
  <c r="AA8" i="20"/>
  <c r="AD8" i="20" s="1"/>
  <c r="X8" i="20"/>
  <c r="U8" i="20"/>
  <c r="AV8" i="20" s="1"/>
  <c r="L8" i="20"/>
  <c r="AJ8" i="20" s="1"/>
  <c r="F8" i="20"/>
  <c r="AP8" i="20" s="1"/>
  <c r="AB7" i="20"/>
  <c r="AA7" i="20"/>
  <c r="AD7" i="20" s="1"/>
  <c r="X7" i="20"/>
  <c r="V7" i="20"/>
  <c r="U7" i="20"/>
  <c r="AV7" i="20" s="1"/>
  <c r="L7" i="20"/>
  <c r="O7" i="20" s="1"/>
  <c r="F7" i="20"/>
  <c r="I7" i="20" s="1"/>
  <c r="AB6" i="20"/>
  <c r="AE6" i="20" s="1"/>
  <c r="AA6" i="20"/>
  <c r="Y6" i="20"/>
  <c r="X6" i="20"/>
  <c r="V6" i="20"/>
  <c r="AW6" i="20" s="1"/>
  <c r="U6" i="20"/>
  <c r="AV6" i="20" s="1"/>
  <c r="M6" i="20"/>
  <c r="AK6" i="20" s="1"/>
  <c r="S6" i="20" s="1"/>
  <c r="L6" i="20"/>
  <c r="AJ6" i="20" s="1"/>
  <c r="G6" i="20"/>
  <c r="AQ6" i="20" s="1"/>
  <c r="F6" i="20"/>
  <c r="AP6" i="20" s="1"/>
  <c r="AB5" i="20"/>
  <c r="V5" i="20"/>
  <c r="Y17" i="21" l="1"/>
  <c r="G17" i="21"/>
  <c r="J17" i="21" s="1"/>
  <c r="Z17" i="21"/>
  <c r="AI17" i="21" s="1"/>
  <c r="Z7" i="21"/>
  <c r="AC6" i="21"/>
  <c r="AF6" i="21" s="1"/>
  <c r="AB7" i="25"/>
  <c r="AE7" i="25" s="1"/>
  <c r="M7" i="25"/>
  <c r="V7" i="25"/>
  <c r="G7" i="25"/>
  <c r="Y7" i="25"/>
  <c r="H7" i="21"/>
  <c r="K7" i="21" s="1"/>
  <c r="H17" i="21"/>
  <c r="K17" i="21" s="1"/>
  <c r="W6" i="21"/>
  <c r="AX6" i="21" s="1"/>
  <c r="K8" i="21"/>
  <c r="AC11" i="21"/>
  <c r="AF11" i="21" s="1"/>
  <c r="AC12" i="21"/>
  <c r="AF12" i="21" s="1"/>
  <c r="M18" i="21"/>
  <c r="Z5" i="21"/>
  <c r="AI5" i="21" s="1"/>
  <c r="Z13" i="21"/>
  <c r="AI13" i="21" s="1"/>
  <c r="AO13" i="21" s="1"/>
  <c r="AU13" i="21" s="1"/>
  <c r="AC6" i="25"/>
  <c r="AF6" i="25" s="1"/>
  <c r="W6" i="25"/>
  <c r="N6" i="25"/>
  <c r="H6" i="25"/>
  <c r="Z6" i="25"/>
  <c r="AB6" i="25"/>
  <c r="AE6" i="25" s="1"/>
  <c r="M6" i="25"/>
  <c r="V6" i="25"/>
  <c r="G6" i="25"/>
  <c r="Y6" i="25"/>
  <c r="AH6" i="25" s="1"/>
  <c r="W7" i="21"/>
  <c r="AX7" i="21" s="1"/>
  <c r="AB11" i="25"/>
  <c r="AE11" i="25" s="1"/>
  <c r="V11" i="25"/>
  <c r="AW11" i="25" s="1"/>
  <c r="G11" i="25"/>
  <c r="Y11" i="25"/>
  <c r="M11" i="25"/>
  <c r="Z19" i="21"/>
  <c r="N6" i="21"/>
  <c r="AC7" i="21"/>
  <c r="AF7" i="21" s="1"/>
  <c r="Q14" i="21"/>
  <c r="AC17" i="21"/>
  <c r="AF17" i="21" s="1"/>
  <c r="M12" i="25"/>
  <c r="AB12" i="25"/>
  <c r="AE12" i="25" s="1"/>
  <c r="Y12" i="25"/>
  <c r="G12" i="25"/>
  <c r="V12" i="25"/>
  <c r="AW12" i="25" s="1"/>
  <c r="M20" i="25"/>
  <c r="AB20" i="25"/>
  <c r="AE20" i="25" s="1"/>
  <c r="Y20" i="25"/>
  <c r="V20" i="25"/>
  <c r="AW20" i="25" s="1"/>
  <c r="G20" i="25"/>
  <c r="H11" i="21"/>
  <c r="K11" i="21" s="1"/>
  <c r="G18" i="21"/>
  <c r="AC19" i="21"/>
  <c r="AF19" i="21" s="1"/>
  <c r="AC12" i="25"/>
  <c r="AF12" i="25" s="1"/>
  <c r="Z12" i="25"/>
  <c r="W12" i="25"/>
  <c r="H12" i="25"/>
  <c r="N12" i="25"/>
  <c r="AC20" i="21"/>
  <c r="AF20" i="21" s="1"/>
  <c r="V6" i="21"/>
  <c r="AW6" i="21" s="1"/>
  <c r="AB12" i="21"/>
  <c r="AE12" i="21" s="1"/>
  <c r="W14" i="21"/>
  <c r="AX14" i="21" s="1"/>
  <c r="G20" i="21"/>
  <c r="M5" i="25"/>
  <c r="G5" i="25"/>
  <c r="Y5" i="25"/>
  <c r="V5" i="25"/>
  <c r="AB5" i="25"/>
  <c r="AE5" i="25" s="1"/>
  <c r="M13" i="25"/>
  <c r="AB13" i="25"/>
  <c r="AE13" i="25" s="1"/>
  <c r="G13" i="25"/>
  <c r="V13" i="25"/>
  <c r="Y13" i="25"/>
  <c r="AW13" i="25"/>
  <c r="Y6" i="21"/>
  <c r="AH6" i="21" s="1"/>
  <c r="AN6" i="21" s="1"/>
  <c r="M8" i="21"/>
  <c r="AK8" i="21" s="1"/>
  <c r="S8" i="21" s="1"/>
  <c r="G12" i="21"/>
  <c r="AQ12" i="21" s="1"/>
  <c r="Z14" i="21"/>
  <c r="AI14" i="21" s="1"/>
  <c r="AO14" i="21" s="1"/>
  <c r="M20" i="21"/>
  <c r="AC8" i="25"/>
  <c r="AF8" i="25" s="1"/>
  <c r="W8" i="25"/>
  <c r="N8" i="25"/>
  <c r="Z8" i="25"/>
  <c r="H8" i="25"/>
  <c r="AB14" i="25"/>
  <c r="AE14" i="25" s="1"/>
  <c r="M14" i="25"/>
  <c r="G14" i="25"/>
  <c r="Y14" i="25"/>
  <c r="V14" i="25"/>
  <c r="AW14" i="25" s="1"/>
  <c r="M18" i="25"/>
  <c r="AB18" i="25"/>
  <c r="AE18" i="25" s="1"/>
  <c r="G18" i="25"/>
  <c r="V18" i="25"/>
  <c r="AW18" i="25" s="1"/>
  <c r="Y18" i="25"/>
  <c r="H6" i="21"/>
  <c r="M7" i="21"/>
  <c r="P7" i="21" s="1"/>
  <c r="Q12" i="21"/>
  <c r="K14" i="21"/>
  <c r="V17" i="21"/>
  <c r="AC18" i="21"/>
  <c r="AF18" i="21" s="1"/>
  <c r="W17" i="21"/>
  <c r="AX17" i="21" s="1"/>
  <c r="Y19" i="21"/>
  <c r="AH19" i="21" s="1"/>
  <c r="AN19" i="21" s="1"/>
  <c r="M6" i="21"/>
  <c r="AK6" i="21" s="1"/>
  <c r="S6" i="21" s="1"/>
  <c r="Y7" i="21"/>
  <c r="AB17" i="21"/>
  <c r="AE17" i="21" s="1"/>
  <c r="Z11" i="21"/>
  <c r="AI11" i="21" s="1"/>
  <c r="Z6" i="21"/>
  <c r="V18" i="21"/>
  <c r="AW18" i="21" s="1"/>
  <c r="M8" i="25"/>
  <c r="AB8" i="25"/>
  <c r="AE8" i="25" s="1"/>
  <c r="V8" i="25"/>
  <c r="G8" i="25"/>
  <c r="Y8" i="25"/>
  <c r="AC14" i="25"/>
  <c r="AF14" i="25" s="1"/>
  <c r="H14" i="25"/>
  <c r="Z14" i="25"/>
  <c r="W14" i="25"/>
  <c r="N14" i="25"/>
  <c r="AX14" i="25"/>
  <c r="AG33" i="20"/>
  <c r="AH17" i="20"/>
  <c r="R30" i="20"/>
  <c r="S33" i="20"/>
  <c r="I33" i="20"/>
  <c r="U20" i="22"/>
  <c r="S25" i="20"/>
  <c r="AR7" i="22"/>
  <c r="AT7" i="22" s="1"/>
  <c r="AS7" i="22" s="1"/>
  <c r="AH33" i="20"/>
  <c r="AN33" i="20" s="1"/>
  <c r="AT33" i="20" s="1"/>
  <c r="AH25" i="20"/>
  <c r="AN25" i="20" s="1"/>
  <c r="AT25" i="20" s="1"/>
  <c r="S32" i="20"/>
  <c r="U19" i="22"/>
  <c r="G31" i="20"/>
  <c r="AQ31" i="20" s="1"/>
  <c r="K18" i="22"/>
  <c r="U18" i="22"/>
  <c r="S31" i="20"/>
  <c r="V31" i="20"/>
  <c r="AW31" i="20" s="1"/>
  <c r="Y31" i="20"/>
  <c r="AH31" i="20" s="1"/>
  <c r="K17" i="22"/>
  <c r="G29" i="20"/>
  <c r="AQ29" i="20" s="1"/>
  <c r="U24" i="22"/>
  <c r="Y29" i="20"/>
  <c r="AB29" i="20"/>
  <c r="AE29" i="20" s="1"/>
  <c r="K15" i="22"/>
  <c r="AO7" i="22"/>
  <c r="AO31" i="22" s="1"/>
  <c r="U23" i="22"/>
  <c r="G28" i="20"/>
  <c r="P28" i="20"/>
  <c r="V28" i="20"/>
  <c r="AW28" i="20" s="1"/>
  <c r="AB28" i="20"/>
  <c r="Y28" i="20"/>
  <c r="J35" i="22"/>
  <c r="V24" i="20"/>
  <c r="AB24" i="20"/>
  <c r="AE24" i="20" s="1"/>
  <c r="G23" i="20"/>
  <c r="AQ23" i="20" s="1"/>
  <c r="M23" i="20"/>
  <c r="V23" i="20"/>
  <c r="AW23" i="20" s="1"/>
  <c r="AB23" i="20"/>
  <c r="AE23" i="20" s="1"/>
  <c r="AK22" i="20"/>
  <c r="V22" i="20"/>
  <c r="AN9" i="22"/>
  <c r="AB22" i="20"/>
  <c r="AE22" i="20" s="1"/>
  <c r="Y22" i="20"/>
  <c r="AH22" i="20" s="1"/>
  <c r="G22" i="20"/>
  <c r="AQ22" i="20" s="1"/>
  <c r="T24" i="22"/>
  <c r="Y20" i="20"/>
  <c r="AH20" i="20" s="1"/>
  <c r="AN7" i="22"/>
  <c r="AN31" i="22" s="1"/>
  <c r="M20" i="20"/>
  <c r="G20" i="20"/>
  <c r="AQ20" i="20" s="1"/>
  <c r="S27" i="22"/>
  <c r="AH16" i="20"/>
  <c r="AN16" i="20" s="1"/>
  <c r="AT16" i="20" s="1"/>
  <c r="S34" i="22"/>
  <c r="I41" i="22"/>
  <c r="AM41" i="22" s="1"/>
  <c r="S48" i="22"/>
  <c r="AK12" i="20"/>
  <c r="P12" i="20"/>
  <c r="S23" i="22"/>
  <c r="V12" i="20"/>
  <c r="AW12" i="20" s="1"/>
  <c r="Y12" i="20"/>
  <c r="I23" i="22"/>
  <c r="AB12" i="20"/>
  <c r="AE12" i="20" s="1"/>
  <c r="G12" i="20"/>
  <c r="H35" i="22"/>
  <c r="H26" i="22"/>
  <c r="M8" i="20"/>
  <c r="V8" i="20"/>
  <c r="AW8" i="20" s="1"/>
  <c r="G8" i="20"/>
  <c r="AQ8" i="20" s="1"/>
  <c r="Y8" i="20"/>
  <c r="AB8" i="20"/>
  <c r="AE8" i="20" s="1"/>
  <c r="H17" i="22"/>
  <c r="AH6" i="20"/>
  <c r="AN6" i="20" s="1"/>
  <c r="AT6" i="20" s="1"/>
  <c r="AL7" i="22"/>
  <c r="R15" i="22"/>
  <c r="F32" i="20"/>
  <c r="AP32" i="20" s="1"/>
  <c r="L32" i="20"/>
  <c r="O32" i="20" s="1"/>
  <c r="U32" i="20"/>
  <c r="AV32" i="20" s="1"/>
  <c r="X32" i="20"/>
  <c r="AG32" i="20" s="1"/>
  <c r="F27" i="22"/>
  <c r="P34" i="22"/>
  <c r="P26" i="22"/>
  <c r="L29" i="20"/>
  <c r="U29" i="20"/>
  <c r="AV29" i="20" s="1"/>
  <c r="AA29" i="20"/>
  <c r="AD29" i="20" s="1"/>
  <c r="X29" i="20"/>
  <c r="F29" i="20"/>
  <c r="L28" i="20"/>
  <c r="U28" i="20"/>
  <c r="AV28" i="20" s="1"/>
  <c r="F23" i="22"/>
  <c r="AA28" i="20"/>
  <c r="AD28" i="20" s="1"/>
  <c r="F28" i="20"/>
  <c r="O26" i="22"/>
  <c r="AG20" i="20"/>
  <c r="AM20" i="20" s="1"/>
  <c r="AS20" i="20" s="1"/>
  <c r="X11" i="22"/>
  <c r="O15" i="20"/>
  <c r="N34" i="22"/>
  <c r="X15" i="20"/>
  <c r="AA15" i="20"/>
  <c r="AD15" i="20" s="1"/>
  <c r="D26" i="22"/>
  <c r="F15" i="20"/>
  <c r="I15" i="20" s="1"/>
  <c r="U15" i="20"/>
  <c r="AV15" i="20" s="1"/>
  <c r="D33" i="22"/>
  <c r="X14" i="20"/>
  <c r="AG14" i="20" s="1"/>
  <c r="F13" i="20"/>
  <c r="I13" i="20" s="1"/>
  <c r="U13" i="20"/>
  <c r="AV13" i="20" s="1"/>
  <c r="X13" i="20"/>
  <c r="AG13" i="20" s="1"/>
  <c r="L13" i="20"/>
  <c r="AJ13" i="20" s="1"/>
  <c r="AA13" i="20"/>
  <c r="AD13" i="20" s="1"/>
  <c r="AH7" i="22"/>
  <c r="X12" i="20"/>
  <c r="AG12" i="20" s="1"/>
  <c r="AM12" i="20" s="1"/>
  <c r="AS12" i="20" s="1"/>
  <c r="C19" i="22"/>
  <c r="AA9" i="20"/>
  <c r="AD9" i="20" s="1"/>
  <c r="U9" i="20"/>
  <c r="AV9" i="20" s="1"/>
  <c r="M34" i="22"/>
  <c r="M17" i="22"/>
  <c r="M16" i="22"/>
  <c r="BA7" i="22"/>
  <c r="N23" i="22"/>
  <c r="AN36" i="22"/>
  <c r="AN28" i="22"/>
  <c r="AN20" i="22"/>
  <c r="AM34" i="22"/>
  <c r="AM26" i="22"/>
  <c r="AM18" i="22"/>
  <c r="AC35" i="22"/>
  <c r="AC27" i="22"/>
  <c r="AC19" i="22"/>
  <c r="O47" i="22"/>
  <c r="O39" i="22"/>
  <c r="O31" i="22"/>
  <c r="Y7" i="22"/>
  <c r="Z8" i="22"/>
  <c r="AJ8" i="22"/>
  <c r="AO8" i="22"/>
  <c r="C49" i="22"/>
  <c r="AG49" i="22" s="1"/>
  <c r="C41" i="22"/>
  <c r="AG41" i="22" s="1"/>
  <c r="C25" i="22"/>
  <c r="H41" i="22"/>
  <c r="AL41" i="22" s="1"/>
  <c r="W9" i="22"/>
  <c r="AG9" i="22"/>
  <c r="W10" i="22"/>
  <c r="AG10" i="22"/>
  <c r="D36" i="22"/>
  <c r="D28" i="22"/>
  <c r="D20" i="22"/>
  <c r="X12" i="22"/>
  <c r="AD12" i="22"/>
  <c r="E15" i="22"/>
  <c r="AE7" i="22"/>
  <c r="C48" i="22"/>
  <c r="AG48" i="22" s="1"/>
  <c r="C40" i="22"/>
  <c r="AG40" i="22" s="1"/>
  <c r="C24" i="22"/>
  <c r="H48" i="22"/>
  <c r="AL48" i="22" s="1"/>
  <c r="H40" i="22"/>
  <c r="AL40" i="22" s="1"/>
  <c r="H24" i="22"/>
  <c r="R48" i="22"/>
  <c r="R40" i="22"/>
  <c r="R32" i="22"/>
  <c r="AL8" i="22"/>
  <c r="D34" i="22"/>
  <c r="D18" i="22"/>
  <c r="X10" i="22"/>
  <c r="AC10" i="22"/>
  <c r="D19" i="22"/>
  <c r="N27" i="22"/>
  <c r="E36" i="22"/>
  <c r="E28" i="22"/>
  <c r="E20" i="22"/>
  <c r="K36" i="22"/>
  <c r="K28" i="22"/>
  <c r="S36" i="22"/>
  <c r="S28" i="22"/>
  <c r="S20" i="22"/>
  <c r="Y12" i="22"/>
  <c r="AE12" i="22"/>
  <c r="U16" i="22"/>
  <c r="H32" i="22"/>
  <c r="H34" i="22"/>
  <c r="C47" i="22"/>
  <c r="AG47" i="22" s="1"/>
  <c r="C39" i="22"/>
  <c r="AG39" i="22" s="1"/>
  <c r="C31" i="22"/>
  <c r="C23" i="22"/>
  <c r="R47" i="22"/>
  <c r="R39" i="22"/>
  <c r="R31" i="22"/>
  <c r="R23" i="22"/>
  <c r="W7" i="22"/>
  <c r="AG7" i="22"/>
  <c r="D48" i="22"/>
  <c r="AH48" i="22" s="1"/>
  <c r="D40" i="22"/>
  <c r="AH40" i="22" s="1"/>
  <c r="D32" i="22"/>
  <c r="D24" i="22"/>
  <c r="D16" i="22"/>
  <c r="I48" i="22"/>
  <c r="AM48" i="22" s="1"/>
  <c r="I40" i="22"/>
  <c r="AM40" i="22" s="1"/>
  <c r="I24" i="22"/>
  <c r="I32" i="22"/>
  <c r="I16" i="22"/>
  <c r="X8" i="22"/>
  <c r="AC8" i="22"/>
  <c r="AH8" i="22"/>
  <c r="AM8" i="22"/>
  <c r="E49" i="22"/>
  <c r="AI49" i="22" s="1"/>
  <c r="E33" i="22"/>
  <c r="E25" i="22"/>
  <c r="E17" i="22"/>
  <c r="J33" i="22"/>
  <c r="O49" i="22"/>
  <c r="O41" i="22"/>
  <c r="O33" i="22"/>
  <c r="O25" i="22"/>
  <c r="O17" i="22"/>
  <c r="T49" i="22"/>
  <c r="T41" i="22"/>
  <c r="T33" i="22"/>
  <c r="T25" i="22"/>
  <c r="T17" i="22"/>
  <c r="Y9" i="22"/>
  <c r="AD9" i="22"/>
  <c r="AI9" i="22"/>
  <c r="E34" i="22"/>
  <c r="E26" i="22"/>
  <c r="E18" i="22"/>
  <c r="J34" i="22"/>
  <c r="J26" i="22"/>
  <c r="J18" i="22"/>
  <c r="O34" i="22"/>
  <c r="O18" i="22"/>
  <c r="Y10" i="22"/>
  <c r="AD10" i="22"/>
  <c r="AI10" i="22"/>
  <c r="AN10" i="22"/>
  <c r="E35" i="22"/>
  <c r="E27" i="22"/>
  <c r="E19" i="22"/>
  <c r="O35" i="22"/>
  <c r="O27" i="22"/>
  <c r="O19" i="22"/>
  <c r="Y11" i="22"/>
  <c r="AD11" i="22"/>
  <c r="AI11" i="22"/>
  <c r="N36" i="22"/>
  <c r="N28" i="22"/>
  <c r="N20" i="22"/>
  <c r="T36" i="22"/>
  <c r="T28" i="22"/>
  <c r="T20" i="22"/>
  <c r="Z12" i="22"/>
  <c r="AH12" i="22"/>
  <c r="H15" i="22"/>
  <c r="O15" i="22"/>
  <c r="U15" i="22"/>
  <c r="C16" i="22"/>
  <c r="C17" i="22"/>
  <c r="C18" i="22"/>
  <c r="K24" i="22"/>
  <c r="F25" i="22"/>
  <c r="F26" i="22"/>
  <c r="P28" i="22"/>
  <c r="E31" i="22"/>
  <c r="C33" i="22"/>
  <c r="E39" i="22"/>
  <c r="AI39" i="22" s="1"/>
  <c r="AI7" i="22"/>
  <c r="AE8" i="22"/>
  <c r="M41" i="22"/>
  <c r="AB9" i="22"/>
  <c r="AL9" i="22"/>
  <c r="C35" i="22"/>
  <c r="C27" i="22"/>
  <c r="AG11" i="22"/>
  <c r="J36" i="22"/>
  <c r="J28" i="22"/>
  <c r="J20" i="22"/>
  <c r="AJ36" i="22"/>
  <c r="AJ28" i="22"/>
  <c r="AJ20" i="22"/>
  <c r="C34" i="22"/>
  <c r="P36" i="22"/>
  <c r="K31" i="22"/>
  <c r="K23" i="22"/>
  <c r="W8" i="22"/>
  <c r="AB8" i="22"/>
  <c r="AG8" i="22"/>
  <c r="I49" i="22"/>
  <c r="AM49" i="22" s="1"/>
  <c r="I33" i="22"/>
  <c r="I17" i="22"/>
  <c r="N25" i="22"/>
  <c r="AM9" i="22"/>
  <c r="I26" i="22"/>
  <c r="I34" i="22"/>
  <c r="I18" i="22"/>
  <c r="S26" i="22"/>
  <c r="S18" i="22"/>
  <c r="AH10" i="22"/>
  <c r="I35" i="22"/>
  <c r="I27" i="22"/>
  <c r="I19" i="22"/>
  <c r="S35" i="22"/>
  <c r="AH11" i="22"/>
  <c r="AM11" i="22"/>
  <c r="K16" i="22"/>
  <c r="K20" i="22"/>
  <c r="F24" i="22"/>
  <c r="U31" i="22"/>
  <c r="D47" i="22"/>
  <c r="AH47" i="22" s="1"/>
  <c r="I47" i="22"/>
  <c r="AM47" i="22" s="1"/>
  <c r="I39" i="22"/>
  <c r="AM39" i="22" s="1"/>
  <c r="N47" i="22"/>
  <c r="N39" i="22"/>
  <c r="N31" i="22"/>
  <c r="N15" i="22"/>
  <c r="AM7" i="22"/>
  <c r="E48" i="22"/>
  <c r="AI48" i="22" s="1"/>
  <c r="E32" i="22"/>
  <c r="E40" i="22"/>
  <c r="AI40" i="22" s="1"/>
  <c r="E16" i="22"/>
  <c r="J48" i="22"/>
  <c r="AN48" i="22" s="1"/>
  <c r="J32" i="22"/>
  <c r="J24" i="22"/>
  <c r="J16" i="22"/>
  <c r="Y8" i="22"/>
  <c r="AD8" i="22"/>
  <c r="AI8" i="22"/>
  <c r="AN8" i="22"/>
  <c r="K25" i="22"/>
  <c r="Z9" i="22"/>
  <c r="AJ9" i="22"/>
  <c r="K34" i="22"/>
  <c r="Z10" i="22"/>
  <c r="AE10" i="22"/>
  <c r="AJ10" i="22"/>
  <c r="K35" i="22"/>
  <c r="K27" i="22"/>
  <c r="Z11" i="22"/>
  <c r="AE11" i="22"/>
  <c r="AJ11" i="22"/>
  <c r="AO11" i="22"/>
  <c r="I36" i="22"/>
  <c r="I28" i="22"/>
  <c r="I20" i="22"/>
  <c r="O36" i="22"/>
  <c r="O28" i="22"/>
  <c r="O20" i="22"/>
  <c r="U36" i="22"/>
  <c r="U28" i="22"/>
  <c r="AC12" i="22"/>
  <c r="AI12" i="22"/>
  <c r="AO12" i="22"/>
  <c r="C15" i="22"/>
  <c r="F16" i="22"/>
  <c r="F17" i="22"/>
  <c r="F18" i="22"/>
  <c r="P18" i="22"/>
  <c r="F20" i="22"/>
  <c r="AM20" i="22"/>
  <c r="E23" i="22"/>
  <c r="O23" i="22"/>
  <c r="M24" i="22"/>
  <c r="H25" i="22"/>
  <c r="H27" i="22"/>
  <c r="F28" i="22"/>
  <c r="AM28" i="22"/>
  <c r="U32" i="22"/>
  <c r="H33" i="22"/>
  <c r="AW19" i="21"/>
  <c r="Z18" i="21"/>
  <c r="AX19" i="21"/>
  <c r="Z20" i="21"/>
  <c r="M17" i="21"/>
  <c r="P17" i="21" s="1"/>
  <c r="M19" i="21"/>
  <c r="P19" i="21" s="1"/>
  <c r="N17" i="21"/>
  <c r="Q17" i="21" s="1"/>
  <c r="H18" i="21"/>
  <c r="N18" i="21"/>
  <c r="W18" i="21"/>
  <c r="AX18" i="21" s="1"/>
  <c r="N19" i="21"/>
  <c r="Q19" i="21" s="1"/>
  <c r="H20" i="21"/>
  <c r="N20" i="21"/>
  <c r="W20" i="21"/>
  <c r="AX20" i="21" s="1"/>
  <c r="AX13" i="21"/>
  <c r="M11" i="21"/>
  <c r="P11" i="21" s="1"/>
  <c r="Y11" i="21"/>
  <c r="M13" i="21"/>
  <c r="P13" i="21" s="1"/>
  <c r="Y13" i="21"/>
  <c r="S14" i="21"/>
  <c r="N11" i="21"/>
  <c r="Q11" i="21" s="1"/>
  <c r="T12" i="21"/>
  <c r="N13" i="21"/>
  <c r="Q13" i="21" s="1"/>
  <c r="T14" i="21"/>
  <c r="AX11" i="21"/>
  <c r="G11" i="21"/>
  <c r="J11" i="21" s="1"/>
  <c r="V11" i="21"/>
  <c r="AB11" i="21"/>
  <c r="AE11" i="21" s="1"/>
  <c r="P12" i="21"/>
  <c r="G13" i="21"/>
  <c r="J13" i="21" s="1"/>
  <c r="V13" i="21"/>
  <c r="AB13" i="21"/>
  <c r="AE13" i="21" s="1"/>
  <c r="J14" i="21"/>
  <c r="P14" i="21"/>
  <c r="N7" i="21"/>
  <c r="Q7" i="21" s="1"/>
  <c r="T8" i="21"/>
  <c r="J6" i="21"/>
  <c r="P6" i="21"/>
  <c r="G7" i="21"/>
  <c r="J7" i="21" s="1"/>
  <c r="V7" i="21"/>
  <c r="AB7" i="21"/>
  <c r="AE7" i="21" s="1"/>
  <c r="J8" i="21"/>
  <c r="P8" i="21"/>
  <c r="H5" i="21"/>
  <c r="K5" i="21" s="1"/>
  <c r="N5" i="21"/>
  <c r="Q5" i="21" s="1"/>
  <c r="W5" i="21"/>
  <c r="AX5" i="21" s="1"/>
  <c r="M5" i="21"/>
  <c r="P5" i="21" s="1"/>
  <c r="Y5" i="21"/>
  <c r="G5" i="21"/>
  <c r="J5" i="21" s="1"/>
  <c r="V5" i="21"/>
  <c r="AB5" i="21"/>
  <c r="AE5" i="21" s="1"/>
  <c r="AH8" i="21"/>
  <c r="AN8" i="21" s="1"/>
  <c r="AH12" i="21"/>
  <c r="AH14" i="21"/>
  <c r="AN14" i="21" s="1"/>
  <c r="AQ17" i="21"/>
  <c r="AH18" i="21"/>
  <c r="AN18" i="21" s="1"/>
  <c r="AQ19" i="21"/>
  <c r="AH20" i="21"/>
  <c r="AZ38" i="21"/>
  <c r="BC38" i="21" s="1"/>
  <c r="AQ38" i="21"/>
  <c r="AL38" i="21"/>
  <c r="T38" i="21" s="1"/>
  <c r="AI6" i="21"/>
  <c r="AI8" i="21"/>
  <c r="AO8" i="21" s="1"/>
  <c r="AI12" i="21"/>
  <c r="AO12" i="21" s="1"/>
  <c r="AR13" i="21"/>
  <c r="AI18" i="21"/>
  <c r="AO18" i="21" s="1"/>
  <c r="AR19" i="21"/>
  <c r="BA38" i="21"/>
  <c r="BD38" i="21" s="1"/>
  <c r="AR38" i="21"/>
  <c r="AI40" i="21"/>
  <c r="AO40" i="21" s="1"/>
  <c r="AL7" i="21"/>
  <c r="T7" i="21" s="1"/>
  <c r="AK11" i="21"/>
  <c r="AK19" i="21"/>
  <c r="S19" i="21" s="1"/>
  <c r="AN20" i="21"/>
  <c r="AK38" i="21"/>
  <c r="S38" i="21" s="1"/>
  <c r="AN40" i="21"/>
  <c r="AT40" i="21" s="1"/>
  <c r="G30" i="20"/>
  <c r="M30" i="20"/>
  <c r="V30" i="20"/>
  <c r="AW30" i="20" s="1"/>
  <c r="AB30" i="20"/>
  <c r="AH30" i="20" s="1"/>
  <c r="AP31" i="20"/>
  <c r="AH32" i="20"/>
  <c r="AN32" i="20" s="1"/>
  <c r="I30" i="20"/>
  <c r="O30" i="20"/>
  <c r="AG30" i="20"/>
  <c r="AM30" i="20" s="1"/>
  <c r="AS30" i="20" s="1"/>
  <c r="J32" i="20"/>
  <c r="P32" i="20"/>
  <c r="S28" i="20"/>
  <c r="L21" i="20"/>
  <c r="X21" i="20"/>
  <c r="AG21" i="20" s="1"/>
  <c r="F23" i="20"/>
  <c r="AP23" i="20" s="1"/>
  <c r="U23" i="20"/>
  <c r="AV23" i="20" s="1"/>
  <c r="F21" i="20"/>
  <c r="I21" i="20" s="1"/>
  <c r="U21" i="20"/>
  <c r="AV21" i="20" s="1"/>
  <c r="AH23" i="20"/>
  <c r="AG24" i="20"/>
  <c r="AM24" i="20" s="1"/>
  <c r="AS24" i="20" s="1"/>
  <c r="AH21" i="20"/>
  <c r="AN21" i="20" s="1"/>
  <c r="AT21" i="20" s="1"/>
  <c r="I22" i="20"/>
  <c r="O22" i="20"/>
  <c r="AG22" i="20"/>
  <c r="AM22" i="20" s="1"/>
  <c r="AS22" i="20" s="1"/>
  <c r="M24" i="20"/>
  <c r="T35" i="22" s="1"/>
  <c r="P22" i="20"/>
  <c r="G24" i="20"/>
  <c r="R22" i="20"/>
  <c r="AJ23" i="20"/>
  <c r="AE20" i="20"/>
  <c r="P20" i="20"/>
  <c r="V20" i="20"/>
  <c r="AW20" i="20" s="1"/>
  <c r="R20" i="20"/>
  <c r="I20" i="20"/>
  <c r="O20" i="20"/>
  <c r="AW13" i="20"/>
  <c r="F14" i="20"/>
  <c r="L14" i="20"/>
  <c r="N33" i="22" s="1"/>
  <c r="U14" i="20"/>
  <c r="AV14" i="20" s="1"/>
  <c r="J16" i="20"/>
  <c r="P16" i="20"/>
  <c r="Y14" i="20"/>
  <c r="AH13" i="20"/>
  <c r="AN13" i="20" s="1"/>
  <c r="G14" i="20"/>
  <c r="M14" i="20"/>
  <c r="S49" i="22" s="1"/>
  <c r="V14" i="20"/>
  <c r="AW14" i="20" s="1"/>
  <c r="F16" i="20"/>
  <c r="L16" i="20"/>
  <c r="N35" i="22" s="1"/>
  <c r="U16" i="20"/>
  <c r="AV16" i="20" s="1"/>
  <c r="R12" i="20"/>
  <c r="I12" i="20"/>
  <c r="O12" i="20"/>
  <c r="M7" i="20"/>
  <c r="R17" i="22" s="1"/>
  <c r="G9" i="20"/>
  <c r="AB9" i="20"/>
  <c r="AH9" i="20" s="1"/>
  <c r="AH7" i="20"/>
  <c r="G7" i="20"/>
  <c r="V9" i="20"/>
  <c r="AW9" i="20" s="1"/>
  <c r="M9" i="20"/>
  <c r="R35" i="22" s="1"/>
  <c r="Y5" i="20"/>
  <c r="AH5" i="20" s="1"/>
  <c r="F5" i="20"/>
  <c r="I5" i="20" s="1"/>
  <c r="U5" i="20"/>
  <c r="AV5" i="20" s="1"/>
  <c r="L5" i="20"/>
  <c r="X5" i="20"/>
  <c r="AG5" i="20" s="1"/>
  <c r="AG9" i="20"/>
  <c r="O6" i="20"/>
  <c r="O8" i="20"/>
  <c r="L9" i="20"/>
  <c r="I6" i="20"/>
  <c r="AG7" i="20"/>
  <c r="AM7" i="20" s="1"/>
  <c r="AS7" i="20" s="1"/>
  <c r="I8" i="20"/>
  <c r="F9" i="20"/>
  <c r="AP9" i="20" s="1"/>
  <c r="AG6" i="20"/>
  <c r="AM6" i="20" s="1"/>
  <c r="AS6" i="20" s="1"/>
  <c r="R6" i="20"/>
  <c r="R8" i="20"/>
  <c r="G5" i="20"/>
  <c r="S5" i="20" s="1"/>
  <c r="P5" i="20"/>
  <c r="AG8" i="20"/>
  <c r="AM8" i="20" s="1"/>
  <c r="AP15" i="20"/>
  <c r="AP17" i="20"/>
  <c r="AP25" i="20"/>
  <c r="I25" i="20"/>
  <c r="O31" i="20"/>
  <c r="AJ31" i="20"/>
  <c r="R31" i="20" s="1"/>
  <c r="AE5" i="20"/>
  <c r="AW5" i="20"/>
  <c r="J6" i="20"/>
  <c r="P6" i="20"/>
  <c r="AE7" i="20"/>
  <c r="AW7" i="20"/>
  <c r="P8" i="20"/>
  <c r="AH12" i="20"/>
  <c r="AQ13" i="20"/>
  <c r="AH14" i="20"/>
  <c r="AQ15" i="20"/>
  <c r="AQ17" i="20"/>
  <c r="AQ21" i="20"/>
  <c r="J21" i="20"/>
  <c r="AJ24" i="20"/>
  <c r="R24" i="20" s="1"/>
  <c r="R25" i="20"/>
  <c r="AM33" i="20"/>
  <c r="AS33" i="20" s="1"/>
  <c r="AV33" i="20"/>
  <c r="AV62" i="20"/>
  <c r="AJ7" i="20"/>
  <c r="R7" i="20" s="1"/>
  <c r="AD6" i="20"/>
  <c r="AM9" i="20"/>
  <c r="AS9" i="20" s="1"/>
  <c r="AJ15" i="20"/>
  <c r="R15" i="20" s="1"/>
  <c r="AJ17" i="20"/>
  <c r="R17" i="20" s="1"/>
  <c r="AM25" i="20"/>
  <c r="AS25" i="20" s="1"/>
  <c r="O33" i="20"/>
  <c r="AJ33" i="20"/>
  <c r="R33" i="20" s="1"/>
  <c r="AG62" i="20"/>
  <c r="AM62" i="20" s="1"/>
  <c r="AJ63" i="20"/>
  <c r="R63" i="20" s="1"/>
  <c r="O63" i="20"/>
  <c r="AP7" i="20"/>
  <c r="AM17" i="20"/>
  <c r="AS17" i="20" s="1"/>
  <c r="AK13" i="20"/>
  <c r="S13" i="20" s="1"/>
  <c r="AN15" i="20"/>
  <c r="AT15" i="20" s="1"/>
  <c r="AK15" i="20"/>
  <c r="S15" i="20" s="1"/>
  <c r="AN17" i="20"/>
  <c r="AT17" i="20" s="1"/>
  <c r="AK17" i="20"/>
  <c r="S17" i="20" s="1"/>
  <c r="S21" i="20"/>
  <c r="AG23" i="20"/>
  <c r="AP24" i="20"/>
  <c r="I24" i="20"/>
  <c r="AV24" i="20"/>
  <c r="AG28" i="20"/>
  <c r="AM31" i="20"/>
  <c r="AV31" i="20"/>
  <c r="O61" i="20"/>
  <c r="AJ61" i="20"/>
  <c r="R61" i="20" s="1"/>
  <c r="AM61" i="20"/>
  <c r="AS61" i="20" s="1"/>
  <c r="AP61" i="20"/>
  <c r="AP63" i="20"/>
  <c r="I63" i="20"/>
  <c r="AN31" i="20"/>
  <c r="AT31" i="20" s="1"/>
  <c r="AV61" i="20"/>
  <c r="L62" i="20"/>
  <c r="BK62" i="20" s="1"/>
  <c r="BN62" i="20" s="1"/>
  <c r="BK63" i="20"/>
  <c r="BN63" i="20" s="1"/>
  <c r="AV63" i="20"/>
  <c r="P21" i="20"/>
  <c r="AW22" i="20"/>
  <c r="P23" i="20"/>
  <c r="J25" i="20"/>
  <c r="P25" i="20"/>
  <c r="AE28" i="20"/>
  <c r="P29" i="20"/>
  <c r="P31" i="20"/>
  <c r="AE32" i="20"/>
  <c r="AW32" i="20"/>
  <c r="J33" i="20"/>
  <c r="P33" i="20"/>
  <c r="AE61" i="20"/>
  <c r="AW61" i="20"/>
  <c r="M62" i="20"/>
  <c r="AE62" i="20"/>
  <c r="AW62" i="20"/>
  <c r="AE63" i="20"/>
  <c r="AW63" i="20"/>
  <c r="AM63" i="20"/>
  <c r="AS63" i="20" s="1"/>
  <c r="AI14" i="25" l="1"/>
  <c r="AO14" i="25" s="1"/>
  <c r="AU14" i="25" s="1"/>
  <c r="AH20" i="25"/>
  <c r="AI6" i="25"/>
  <c r="AO6" i="25" s="1"/>
  <c r="AU6" i="25" s="1"/>
  <c r="AH12" i="25"/>
  <c r="AN12" i="25" s="1"/>
  <c r="AT12" i="25" s="1"/>
  <c r="AH5" i="25"/>
  <c r="AN5" i="25" s="1"/>
  <c r="AT5" i="25" s="1"/>
  <c r="AI12" i="25"/>
  <c r="AO12" i="25" s="1"/>
  <c r="AU12" i="25" s="1"/>
  <c r="AH13" i="21"/>
  <c r="AL11" i="21"/>
  <c r="T11" i="21" s="1"/>
  <c r="AO6" i="21"/>
  <c r="AU6" i="21" s="1"/>
  <c r="AO11" i="21"/>
  <c r="AL19" i="21"/>
  <c r="T19" i="21" s="1"/>
  <c r="J12" i="21"/>
  <c r="AL17" i="21"/>
  <c r="T17" i="21" s="1"/>
  <c r="AO17" i="21"/>
  <c r="AU17" i="21" s="1"/>
  <c r="AN12" i="21"/>
  <c r="AU11" i="21"/>
  <c r="BA11" i="21"/>
  <c r="BD11" i="21" s="1"/>
  <c r="AT19" i="21"/>
  <c r="AZ19" i="21"/>
  <c r="BC19" i="21" s="1"/>
  <c r="AL8" i="25"/>
  <c r="T8" i="25" s="1"/>
  <c r="Q8" i="25"/>
  <c r="P13" i="25"/>
  <c r="AK13" i="25"/>
  <c r="S13" i="25" s="1"/>
  <c r="AN20" i="25"/>
  <c r="AT20" i="25" s="1"/>
  <c r="AL6" i="21"/>
  <c r="T6" i="21" s="1"/>
  <c r="Q6" i="21"/>
  <c r="J6" i="25"/>
  <c r="AQ6" i="25"/>
  <c r="P7" i="25"/>
  <c r="AK7" i="25"/>
  <c r="S7" i="25" s="1"/>
  <c r="AK17" i="21"/>
  <c r="S17" i="21" s="1"/>
  <c r="AR17" i="21"/>
  <c r="AQ7" i="21"/>
  <c r="AI20" i="21"/>
  <c r="AO20" i="21" s="1"/>
  <c r="AU20" i="21" s="1"/>
  <c r="AC18" i="25"/>
  <c r="AF18" i="25" s="1"/>
  <c r="H18" i="25"/>
  <c r="N18" i="25"/>
  <c r="Z18" i="25"/>
  <c r="W18" i="25"/>
  <c r="P18" i="25"/>
  <c r="AK18" i="25"/>
  <c r="S18" i="25" s="1"/>
  <c r="AW5" i="25"/>
  <c r="AL12" i="25"/>
  <c r="T12" i="25" s="1"/>
  <c r="Q12" i="25"/>
  <c r="AC19" i="25"/>
  <c r="AF19" i="25" s="1"/>
  <c r="N19" i="25"/>
  <c r="H19" i="25"/>
  <c r="Z19" i="25"/>
  <c r="W19" i="25"/>
  <c r="AN6" i="25"/>
  <c r="AT6" i="25" s="1"/>
  <c r="AK18" i="21"/>
  <c r="S18" i="21" s="1"/>
  <c r="P18" i="21"/>
  <c r="AK13" i="21"/>
  <c r="S13" i="21" s="1"/>
  <c r="P8" i="25"/>
  <c r="AK8" i="25"/>
  <c r="S8" i="25" s="1"/>
  <c r="AK20" i="21"/>
  <c r="S20" i="21" s="1"/>
  <c r="P20" i="21"/>
  <c r="K12" i="25"/>
  <c r="AR12" i="25"/>
  <c r="P20" i="25"/>
  <c r="AK20" i="25"/>
  <c r="S20" i="25" s="1"/>
  <c r="AI19" i="21"/>
  <c r="AO19" i="21" s="1"/>
  <c r="AU19" i="21" s="1"/>
  <c r="P6" i="25"/>
  <c r="AK6" i="25"/>
  <c r="S6" i="25" s="1"/>
  <c r="S12" i="21"/>
  <c r="J18" i="25"/>
  <c r="AQ18" i="25"/>
  <c r="AC20" i="25"/>
  <c r="AF20" i="25" s="1"/>
  <c r="W20" i="25"/>
  <c r="AX20" i="25" s="1"/>
  <c r="Z20" i="25"/>
  <c r="N20" i="25"/>
  <c r="H20" i="25"/>
  <c r="AX12" i="25"/>
  <c r="AL5" i="21"/>
  <c r="T5" i="21" s="1"/>
  <c r="Q14" i="25"/>
  <c r="AL14" i="25"/>
  <c r="T14" i="25" s="1"/>
  <c r="AH14" i="25"/>
  <c r="AN14" i="25" s="1"/>
  <c r="AT14" i="25" s="1"/>
  <c r="P11" i="25"/>
  <c r="AK11" i="25"/>
  <c r="S11" i="25" s="1"/>
  <c r="AC7" i="25"/>
  <c r="AF7" i="25" s="1"/>
  <c r="W7" i="25"/>
  <c r="AX7" i="25" s="1"/>
  <c r="Z7" i="25"/>
  <c r="N7" i="25"/>
  <c r="H7" i="25"/>
  <c r="AK7" i="21"/>
  <c r="S7" i="21" s="1"/>
  <c r="AR11" i="21"/>
  <c r="AC11" i="25"/>
  <c r="AF11" i="25" s="1"/>
  <c r="W11" i="25"/>
  <c r="AX11" i="25" s="1"/>
  <c r="H11" i="25"/>
  <c r="Z11" i="25"/>
  <c r="N11" i="25"/>
  <c r="J14" i="25"/>
  <c r="AQ14" i="25"/>
  <c r="J5" i="25"/>
  <c r="AQ5" i="25"/>
  <c r="J12" i="25"/>
  <c r="AQ12" i="25"/>
  <c r="AH11" i="25"/>
  <c r="AN11" i="25" s="1"/>
  <c r="AT11" i="25" s="1"/>
  <c r="K6" i="25"/>
  <c r="AR6" i="25"/>
  <c r="AI7" i="21"/>
  <c r="AO7" i="21" s="1"/>
  <c r="AU7" i="21" s="1"/>
  <c r="J8" i="25"/>
  <c r="AQ8" i="25"/>
  <c r="Q6" i="25"/>
  <c r="AL6" i="25"/>
  <c r="T6" i="25" s="1"/>
  <c r="P14" i="25"/>
  <c r="AK14" i="25"/>
  <c r="S14" i="25" s="1"/>
  <c r="J11" i="25"/>
  <c r="AQ11" i="25"/>
  <c r="K14" i="25"/>
  <c r="AR14" i="25"/>
  <c r="AR6" i="21"/>
  <c r="K6" i="21"/>
  <c r="AQ20" i="21"/>
  <c r="J20" i="21"/>
  <c r="AZ20" i="21" s="1"/>
  <c r="BC20" i="21" s="1"/>
  <c r="AQ18" i="21"/>
  <c r="J18" i="21"/>
  <c r="AX6" i="25"/>
  <c r="AR7" i="21"/>
  <c r="AX8" i="25"/>
  <c r="AH13" i="25"/>
  <c r="AN13" i="25" s="1"/>
  <c r="AT13" i="25" s="1"/>
  <c r="P12" i="25"/>
  <c r="AK12" i="25"/>
  <c r="S12" i="25" s="1"/>
  <c r="AW7" i="25"/>
  <c r="AW17" i="21"/>
  <c r="AW8" i="25"/>
  <c r="AH18" i="25"/>
  <c r="AN18" i="25" s="1"/>
  <c r="AT18" i="25" s="1"/>
  <c r="K8" i="25"/>
  <c r="AR8" i="25"/>
  <c r="AC13" i="25"/>
  <c r="AF13" i="25" s="1"/>
  <c r="H13" i="25"/>
  <c r="Z13" i="25"/>
  <c r="W13" i="25"/>
  <c r="AX13" i="25" s="1"/>
  <c r="N13" i="25"/>
  <c r="AH7" i="25"/>
  <c r="AN7" i="25" s="1"/>
  <c r="AT7" i="25" s="1"/>
  <c r="M17" i="25"/>
  <c r="G17" i="25"/>
  <c r="Y17" i="25"/>
  <c r="V17" i="25"/>
  <c r="AW17" i="25" s="1"/>
  <c r="AB17" i="25"/>
  <c r="AE17" i="25" s="1"/>
  <c r="AC5" i="25"/>
  <c r="AF5" i="25" s="1"/>
  <c r="W5" i="25"/>
  <c r="AX5" i="25" s="1"/>
  <c r="H5" i="25"/>
  <c r="Z5" i="25"/>
  <c r="N5" i="25"/>
  <c r="AK5" i="25"/>
  <c r="S5" i="25" s="1"/>
  <c r="P5" i="25"/>
  <c r="AC17" i="25"/>
  <c r="AF17" i="25" s="1"/>
  <c r="N17" i="25"/>
  <c r="H17" i="25"/>
  <c r="Z17" i="25"/>
  <c r="W17" i="25"/>
  <c r="AQ13" i="21"/>
  <c r="AH8" i="25"/>
  <c r="AN8" i="25" s="1"/>
  <c r="AT8" i="25" s="1"/>
  <c r="AB19" i="25"/>
  <c r="AE19" i="25" s="1"/>
  <c r="M19" i="25"/>
  <c r="V19" i="25"/>
  <c r="AW19" i="25" s="1"/>
  <c r="G19" i="25"/>
  <c r="Y19" i="25"/>
  <c r="AI8" i="25"/>
  <c r="AO8" i="25" s="1"/>
  <c r="AU8" i="25" s="1"/>
  <c r="J13" i="25"/>
  <c r="AQ13" i="25"/>
  <c r="J20" i="25"/>
  <c r="AQ20" i="25"/>
  <c r="AW6" i="25"/>
  <c r="J7" i="25"/>
  <c r="AQ7" i="25"/>
  <c r="AH17" i="21"/>
  <c r="AN17" i="21" s="1"/>
  <c r="J29" i="20"/>
  <c r="AH24" i="20"/>
  <c r="S12" i="20"/>
  <c r="AH8" i="20"/>
  <c r="AN8" i="20" s="1"/>
  <c r="AT8" i="20" s="1"/>
  <c r="S29" i="20"/>
  <c r="J8" i="20"/>
  <c r="AZ8" i="20" s="1"/>
  <c r="BC8" i="20" s="1"/>
  <c r="AO15" i="22"/>
  <c r="AV7" i="22"/>
  <c r="AU7" i="22" s="1"/>
  <c r="S17" i="22"/>
  <c r="AB7" i="22"/>
  <c r="AB39" i="22" s="1"/>
  <c r="N19" i="22"/>
  <c r="M18" i="22"/>
  <c r="AH29" i="20"/>
  <c r="I23" i="20"/>
  <c r="AN24" i="20"/>
  <c r="AT24" i="20" s="1"/>
  <c r="N41" i="22"/>
  <c r="AN22" i="20"/>
  <c r="AT22" i="20" s="1"/>
  <c r="AG29" i="20"/>
  <c r="N49" i="22"/>
  <c r="AH28" i="20"/>
  <c r="AN28" i="20" s="1"/>
  <c r="AT28" i="20" s="1"/>
  <c r="S39" i="22"/>
  <c r="AZ25" i="20"/>
  <c r="BC25" i="20" s="1"/>
  <c r="H31" i="22"/>
  <c r="AY12" i="20"/>
  <c r="BB12" i="20" s="1"/>
  <c r="M26" i="22"/>
  <c r="S22" i="20"/>
  <c r="S33" i="22"/>
  <c r="D41" i="22"/>
  <c r="AH41" i="22" s="1"/>
  <c r="AM28" i="20"/>
  <c r="AS28" i="20" s="1"/>
  <c r="D49" i="22"/>
  <c r="AH49" i="22" s="1"/>
  <c r="AP5" i="20"/>
  <c r="U27" i="22"/>
  <c r="U35" i="22"/>
  <c r="AO10" i="22"/>
  <c r="AO34" i="22" s="1"/>
  <c r="J31" i="20"/>
  <c r="AZ31" i="20" s="1"/>
  <c r="BC31" i="20" s="1"/>
  <c r="U26" i="22"/>
  <c r="U34" i="22"/>
  <c r="K26" i="22"/>
  <c r="U33" i="22"/>
  <c r="U17" i="22"/>
  <c r="U25" i="22"/>
  <c r="AO9" i="22"/>
  <c r="AO17" i="22" s="1"/>
  <c r="AE9" i="22"/>
  <c r="AE25" i="22" s="1"/>
  <c r="K33" i="22"/>
  <c r="AE30" i="20"/>
  <c r="AN29" i="20"/>
  <c r="AT29" i="20" s="1"/>
  <c r="AO23" i="22"/>
  <c r="AQ28" i="20"/>
  <c r="J28" i="20"/>
  <c r="AW24" i="20"/>
  <c r="J19" i="22"/>
  <c r="J27" i="22"/>
  <c r="AN11" i="22"/>
  <c r="AN27" i="22" s="1"/>
  <c r="T19" i="22"/>
  <c r="T27" i="22"/>
  <c r="AN23" i="20"/>
  <c r="AT23" i="20" s="1"/>
  <c r="J23" i="20"/>
  <c r="AK23" i="20"/>
  <c r="S23" i="20" s="1"/>
  <c r="J41" i="22"/>
  <c r="AN41" i="22" s="1"/>
  <c r="J17" i="22"/>
  <c r="J25" i="22"/>
  <c r="J49" i="22"/>
  <c r="AN49" i="22" s="1"/>
  <c r="J22" i="20"/>
  <c r="T16" i="22"/>
  <c r="T32" i="22"/>
  <c r="T40" i="22"/>
  <c r="T48" i="22"/>
  <c r="AD7" i="22"/>
  <c r="AD15" i="22" s="1"/>
  <c r="J20" i="20"/>
  <c r="J15" i="22"/>
  <c r="AN23" i="22"/>
  <c r="J31" i="22"/>
  <c r="AN15" i="22"/>
  <c r="J23" i="22"/>
  <c r="J39" i="22"/>
  <c r="AN39" i="22" s="1"/>
  <c r="J47" i="22"/>
  <c r="AN47" i="22" s="1"/>
  <c r="AK20" i="20"/>
  <c r="S20" i="20" s="1"/>
  <c r="S19" i="22"/>
  <c r="AC9" i="22"/>
  <c r="AC49" i="22" s="1"/>
  <c r="I25" i="22"/>
  <c r="S41" i="22"/>
  <c r="S25" i="22"/>
  <c r="S16" i="22"/>
  <c r="S24" i="22"/>
  <c r="S40" i="22"/>
  <c r="S32" i="22"/>
  <c r="S31" i="22"/>
  <c r="S47" i="22"/>
  <c r="I31" i="22"/>
  <c r="AQ12" i="20"/>
  <c r="J12" i="20"/>
  <c r="AZ12" i="20" s="1"/>
  <c r="BC12" i="20" s="1"/>
  <c r="I15" i="22"/>
  <c r="AC7" i="22"/>
  <c r="AC47" i="22" s="1"/>
  <c r="AN12" i="20"/>
  <c r="AT12" i="20" s="1"/>
  <c r="S15" i="22"/>
  <c r="AE9" i="20"/>
  <c r="AL11" i="22"/>
  <c r="AL19" i="22" s="1"/>
  <c r="AB11" i="22"/>
  <c r="AB35" i="22" s="1"/>
  <c r="R27" i="22"/>
  <c r="H19" i="22"/>
  <c r="R19" i="22"/>
  <c r="AL10" i="22"/>
  <c r="AL34" i="22" s="1"/>
  <c r="H18" i="22"/>
  <c r="AB10" i="22"/>
  <c r="AB18" i="22" s="1"/>
  <c r="AK8" i="20"/>
  <c r="S8" i="20" s="1"/>
  <c r="R33" i="22"/>
  <c r="R25" i="22"/>
  <c r="R41" i="22"/>
  <c r="R49" i="22"/>
  <c r="H49" i="22"/>
  <c r="AL49" i="22" s="1"/>
  <c r="R16" i="22"/>
  <c r="R24" i="22"/>
  <c r="H23" i="22"/>
  <c r="H39" i="22"/>
  <c r="AL39" i="22" s="1"/>
  <c r="H47" i="22"/>
  <c r="AL47" i="22" s="1"/>
  <c r="AM32" i="20"/>
  <c r="AS32" i="20" s="1"/>
  <c r="I32" i="20"/>
  <c r="F19" i="22"/>
  <c r="F35" i="22"/>
  <c r="AJ32" i="20"/>
  <c r="R32" i="20" s="1"/>
  <c r="AY30" i="20"/>
  <c r="BB30" i="20" s="1"/>
  <c r="P25" i="22"/>
  <c r="P33" i="22"/>
  <c r="P17" i="22"/>
  <c r="AJ29" i="20"/>
  <c r="R29" i="20" s="1"/>
  <c r="AM29" i="20"/>
  <c r="O29" i="20"/>
  <c r="AP29" i="20"/>
  <c r="I29" i="20"/>
  <c r="F31" i="22"/>
  <c r="O28" i="20"/>
  <c r="AJ28" i="20"/>
  <c r="R28" i="20" s="1"/>
  <c r="F15" i="22"/>
  <c r="AJ7" i="22"/>
  <c r="AJ31" i="22" s="1"/>
  <c r="AP28" i="20"/>
  <c r="I28" i="20"/>
  <c r="Z7" i="22"/>
  <c r="Z31" i="22" s="1"/>
  <c r="AM23" i="20"/>
  <c r="AS23" i="20" s="1"/>
  <c r="AJ21" i="20"/>
  <c r="R21" i="20" s="1"/>
  <c r="D27" i="22"/>
  <c r="D35" i="22"/>
  <c r="N18" i="22"/>
  <c r="N26" i="22"/>
  <c r="AG15" i="20"/>
  <c r="AM15" i="20" s="1"/>
  <c r="AS15" i="20" s="1"/>
  <c r="AH9" i="22"/>
  <c r="AH33" i="22" s="1"/>
  <c r="X9" i="22"/>
  <c r="X25" i="22" s="1"/>
  <c r="D17" i="22"/>
  <c r="N17" i="22"/>
  <c r="D25" i="22"/>
  <c r="AM13" i="20"/>
  <c r="AS13" i="20" s="1"/>
  <c r="O13" i="20"/>
  <c r="AP13" i="20"/>
  <c r="R13" i="20"/>
  <c r="D23" i="22"/>
  <c r="AR8" i="22"/>
  <c r="X7" i="22"/>
  <c r="X39" i="22" s="1"/>
  <c r="D15" i="22"/>
  <c r="D31" i="22"/>
  <c r="D39" i="22"/>
  <c r="AH39" i="22" s="1"/>
  <c r="O9" i="20"/>
  <c r="W11" i="22"/>
  <c r="W19" i="22" s="1"/>
  <c r="M25" i="22"/>
  <c r="M33" i="22"/>
  <c r="M49" i="22"/>
  <c r="M40" i="22"/>
  <c r="M32" i="22"/>
  <c r="M48" i="22"/>
  <c r="O5" i="20"/>
  <c r="AM5" i="20"/>
  <c r="AS5" i="20" s="1"/>
  <c r="AI36" i="22"/>
  <c r="AI28" i="22"/>
  <c r="AI20" i="22"/>
  <c r="AN32" i="22"/>
  <c r="AN24" i="22"/>
  <c r="AN16" i="22"/>
  <c r="AH35" i="22"/>
  <c r="AH27" i="22"/>
  <c r="AH19" i="22"/>
  <c r="AB48" i="22"/>
  <c r="AB40" i="22"/>
  <c r="AB32" i="22"/>
  <c r="AB24" i="22"/>
  <c r="AB16" i="22"/>
  <c r="AG35" i="22"/>
  <c r="AG27" i="22"/>
  <c r="AG19" i="22"/>
  <c r="AB49" i="22"/>
  <c r="AB41" i="22"/>
  <c r="AB33" i="22"/>
  <c r="AB25" i="22"/>
  <c r="AB17" i="22"/>
  <c r="AD34" i="22"/>
  <c r="AD26" i="22"/>
  <c r="AD18" i="22"/>
  <c r="AC34" i="22"/>
  <c r="AC26" i="22"/>
  <c r="AC18" i="22"/>
  <c r="Z34" i="22"/>
  <c r="Z18" i="22"/>
  <c r="Z26" i="22"/>
  <c r="AI32" i="22"/>
  <c r="AI24" i="22"/>
  <c r="AI16" i="22"/>
  <c r="AM31" i="22"/>
  <c r="AM23" i="22"/>
  <c r="AM15" i="22"/>
  <c r="Y35" i="22"/>
  <c r="Y27" i="22"/>
  <c r="Y19" i="22"/>
  <c r="Y49" i="22"/>
  <c r="Y33" i="22"/>
  <c r="Y25" i="22"/>
  <c r="Y41" i="22"/>
  <c r="Y17" i="22"/>
  <c r="X48" i="22"/>
  <c r="X32" i="22"/>
  <c r="X24" i="22"/>
  <c r="X40" i="22"/>
  <c r="X16" i="22"/>
  <c r="W47" i="22"/>
  <c r="W39" i="22"/>
  <c r="W23" i="22"/>
  <c r="W31" i="22"/>
  <c r="W15" i="22"/>
  <c r="AG34" i="22"/>
  <c r="AG26" i="22"/>
  <c r="AG18" i="22"/>
  <c r="AO35" i="22"/>
  <c r="AO27" i="22"/>
  <c r="AO19" i="22"/>
  <c r="AD48" i="22"/>
  <c r="AD32" i="22"/>
  <c r="AD40" i="22"/>
  <c r="AD24" i="22"/>
  <c r="AD16" i="22"/>
  <c r="AH23" i="22"/>
  <c r="AH15" i="22"/>
  <c r="AH31" i="22"/>
  <c r="AI31" i="22"/>
  <c r="AI23" i="22"/>
  <c r="AI15" i="22"/>
  <c r="AH36" i="22"/>
  <c r="AH28" i="22"/>
  <c r="AH20" i="22"/>
  <c r="AN34" i="22"/>
  <c r="AN26" i="22"/>
  <c r="AN18" i="22"/>
  <c r="AN33" i="22"/>
  <c r="AN25" i="22"/>
  <c r="AN17" i="22"/>
  <c r="AM32" i="22"/>
  <c r="AM24" i="22"/>
  <c r="AM16" i="22"/>
  <c r="AL31" i="22"/>
  <c r="AL23" i="22"/>
  <c r="AL15" i="22"/>
  <c r="X36" i="22"/>
  <c r="X28" i="22"/>
  <c r="X20" i="22"/>
  <c r="W34" i="22"/>
  <c r="W26" i="22"/>
  <c r="W18" i="22"/>
  <c r="W49" i="22"/>
  <c r="W41" i="22"/>
  <c r="W25" i="22"/>
  <c r="W33" i="22"/>
  <c r="W17" i="22"/>
  <c r="AE35" i="22"/>
  <c r="AE27" i="22"/>
  <c r="AE19" i="22"/>
  <c r="AE34" i="22"/>
  <c r="AE26" i="22"/>
  <c r="AE18" i="22"/>
  <c r="AH34" i="22"/>
  <c r="AH26" i="22"/>
  <c r="AH18" i="22"/>
  <c r="AD35" i="22"/>
  <c r="AD27" i="22"/>
  <c r="AD19" i="22"/>
  <c r="AD49" i="22"/>
  <c r="AD33" i="22"/>
  <c r="AD41" i="22"/>
  <c r="AD25" i="22"/>
  <c r="AD17" i="22"/>
  <c r="AC48" i="22"/>
  <c r="AC40" i="22"/>
  <c r="AC24" i="22"/>
  <c r="AC16" i="22"/>
  <c r="AC32" i="22"/>
  <c r="AE36" i="22"/>
  <c r="AE28" i="22"/>
  <c r="AE20" i="22"/>
  <c r="AL32" i="22"/>
  <c r="AL24" i="22"/>
  <c r="AL16" i="22"/>
  <c r="AJ32" i="22"/>
  <c r="AJ16" i="22"/>
  <c r="AJ24" i="22"/>
  <c r="AC36" i="22"/>
  <c r="AC28" i="22"/>
  <c r="AC20" i="22"/>
  <c r="Z35" i="22"/>
  <c r="Z19" i="22"/>
  <c r="Z27" i="22"/>
  <c r="Z33" i="22"/>
  <c r="Z17" i="22"/>
  <c r="Z25" i="22"/>
  <c r="X35" i="22"/>
  <c r="X27" i="22"/>
  <c r="X19" i="22"/>
  <c r="W48" i="22"/>
  <c r="W40" i="22"/>
  <c r="W24" i="22"/>
  <c r="W32" i="22"/>
  <c r="W16" i="22"/>
  <c r="AE32" i="22"/>
  <c r="AE24" i="22"/>
  <c r="AE16" i="22"/>
  <c r="Y34" i="22"/>
  <c r="Y26" i="22"/>
  <c r="Y18" i="22"/>
  <c r="Y36" i="22"/>
  <c r="Y28" i="22"/>
  <c r="Y20" i="22"/>
  <c r="X34" i="22"/>
  <c r="X26" i="22"/>
  <c r="X18" i="22"/>
  <c r="AD36" i="22"/>
  <c r="AD28" i="22"/>
  <c r="AD20" i="22"/>
  <c r="AG33" i="22"/>
  <c r="AG25" i="22"/>
  <c r="AG17" i="22"/>
  <c r="Z32" i="22"/>
  <c r="Z16" i="22"/>
  <c r="Z24" i="22"/>
  <c r="AO36" i="22"/>
  <c r="AO28" i="22"/>
  <c r="AO20" i="22"/>
  <c r="AJ35" i="22"/>
  <c r="AJ19" i="22"/>
  <c r="AJ27" i="22"/>
  <c r="AJ34" i="22"/>
  <c r="AJ18" i="22"/>
  <c r="AJ26" i="22"/>
  <c r="AJ33" i="22"/>
  <c r="AJ17" i="22"/>
  <c r="AJ25" i="22"/>
  <c r="Y48" i="22"/>
  <c r="Y32" i="22"/>
  <c r="Y24" i="22"/>
  <c r="Y40" i="22"/>
  <c r="Y16" i="22"/>
  <c r="AM35" i="22"/>
  <c r="AM27" i="22"/>
  <c r="AM19" i="22"/>
  <c r="AM33" i="22"/>
  <c r="AM25" i="22"/>
  <c r="AM17" i="22"/>
  <c r="AG32" i="22"/>
  <c r="AG24" i="22"/>
  <c r="AG16" i="22"/>
  <c r="AL33" i="22"/>
  <c r="AL25" i="22"/>
  <c r="AL17" i="22"/>
  <c r="Z36" i="22"/>
  <c r="Z20" i="22"/>
  <c r="Z28" i="22"/>
  <c r="AI35" i="22"/>
  <c r="AI27" i="22"/>
  <c r="AI19" i="22"/>
  <c r="AI34" i="22"/>
  <c r="AI26" i="22"/>
  <c r="AI18" i="22"/>
  <c r="AI33" i="22"/>
  <c r="AI25" i="22"/>
  <c r="AI17" i="22"/>
  <c r="AH24" i="22"/>
  <c r="AH16" i="22"/>
  <c r="AH32" i="22"/>
  <c r="AG31" i="22"/>
  <c r="AG23" i="22"/>
  <c r="AG15" i="22"/>
  <c r="AE31" i="22"/>
  <c r="AE23" i="22"/>
  <c r="AE15" i="22"/>
  <c r="AO32" i="22"/>
  <c r="AO24" i="22"/>
  <c r="AO16" i="22"/>
  <c r="Y47" i="22"/>
  <c r="Y31" i="22"/>
  <c r="Y39" i="22"/>
  <c r="Y23" i="22"/>
  <c r="Y15" i="22"/>
  <c r="AL20" i="21"/>
  <c r="T20" i="21" s="1"/>
  <c r="Q20" i="21"/>
  <c r="AL18" i="21"/>
  <c r="T18" i="21" s="1"/>
  <c r="Q18" i="21"/>
  <c r="BA17" i="21"/>
  <c r="BD17" i="21" s="1"/>
  <c r="AR20" i="21"/>
  <c r="K20" i="21"/>
  <c r="AR18" i="21"/>
  <c r="K18" i="21"/>
  <c r="BA18" i="21" s="1"/>
  <c r="BD18" i="21" s="1"/>
  <c r="AQ11" i="21"/>
  <c r="S11" i="21"/>
  <c r="BA13" i="21"/>
  <c r="BD13" i="21" s="1"/>
  <c r="AN13" i="21"/>
  <c r="AH11" i="21"/>
  <c r="AN11" i="21" s="1"/>
  <c r="AW13" i="21"/>
  <c r="AL13" i="21"/>
  <c r="T13" i="21" s="1"/>
  <c r="AW11" i="21"/>
  <c r="AH7" i="21"/>
  <c r="AN7" i="21" s="1"/>
  <c r="AW7" i="21"/>
  <c r="AR5" i="21"/>
  <c r="AO5" i="21"/>
  <c r="AH5" i="21"/>
  <c r="AN5" i="21" s="1"/>
  <c r="AQ5" i="21"/>
  <c r="AK5" i="21"/>
  <c r="S5" i="21" s="1"/>
  <c r="AW5" i="21"/>
  <c r="AU40" i="21"/>
  <c r="BA40" i="21"/>
  <c r="BD40" i="21" s="1"/>
  <c r="AU14" i="21"/>
  <c r="BA14" i="21"/>
  <c r="BD14" i="21" s="1"/>
  <c r="AU12" i="21"/>
  <c r="BA12" i="21"/>
  <c r="BD12" i="21" s="1"/>
  <c r="AU18" i="21"/>
  <c r="AZ14" i="21"/>
  <c r="BC14" i="21" s="1"/>
  <c r="AT14" i="21"/>
  <c r="BA8" i="21"/>
  <c r="BD8" i="21" s="1"/>
  <c r="AU8" i="21"/>
  <c r="AZ18" i="21"/>
  <c r="BC18" i="21" s="1"/>
  <c r="AT18" i="21"/>
  <c r="AZ12" i="21"/>
  <c r="BC12" i="21" s="1"/>
  <c r="AT12" i="21"/>
  <c r="AZ6" i="21"/>
  <c r="BC6" i="21" s="1"/>
  <c r="AT6" i="21"/>
  <c r="BA6" i="21"/>
  <c r="BD6" i="21" s="1"/>
  <c r="AT20" i="21"/>
  <c r="AZ8" i="21"/>
  <c r="BC8" i="21" s="1"/>
  <c r="AT8" i="21"/>
  <c r="AZ40" i="21"/>
  <c r="BC40" i="21" s="1"/>
  <c r="AT32" i="20"/>
  <c r="AZ32" i="20"/>
  <c r="BC32" i="20" s="1"/>
  <c r="AN30" i="20"/>
  <c r="AT30" i="20" s="1"/>
  <c r="AQ30" i="20"/>
  <c r="J30" i="20"/>
  <c r="AZ30" i="20" s="1"/>
  <c r="BC30" i="20" s="1"/>
  <c r="AK30" i="20"/>
  <c r="S30" i="20" s="1"/>
  <c r="P30" i="20"/>
  <c r="AM21" i="20"/>
  <c r="AS21" i="20" s="1"/>
  <c r="O21" i="20"/>
  <c r="AP21" i="20"/>
  <c r="R23" i="20"/>
  <c r="AQ24" i="20"/>
  <c r="J24" i="20"/>
  <c r="AZ24" i="20" s="1"/>
  <c r="BC24" i="20" s="1"/>
  <c r="AY24" i="20"/>
  <c r="BB24" i="20" s="1"/>
  <c r="AK24" i="20"/>
  <c r="S24" i="20" s="1"/>
  <c r="P24" i="20"/>
  <c r="AY22" i="20"/>
  <c r="BB22" i="20" s="1"/>
  <c r="AN20" i="20"/>
  <c r="AT20" i="20" s="1"/>
  <c r="AT13" i="20"/>
  <c r="AZ13" i="20"/>
  <c r="BC13" i="20" s="1"/>
  <c r="AM14" i="20"/>
  <c r="AS14" i="20" s="1"/>
  <c r="AJ14" i="20"/>
  <c r="R14" i="20" s="1"/>
  <c r="O14" i="20"/>
  <c r="AN14" i="20"/>
  <c r="AT14" i="20" s="1"/>
  <c r="AJ16" i="20"/>
  <c r="R16" i="20" s="1"/>
  <c r="O16" i="20"/>
  <c r="AK14" i="20"/>
  <c r="S14" i="20" s="1"/>
  <c r="P14" i="20"/>
  <c r="AP14" i="20"/>
  <c r="I14" i="20"/>
  <c r="AM16" i="20"/>
  <c r="AS16" i="20" s="1"/>
  <c r="AZ16" i="20"/>
  <c r="BC16" i="20" s="1"/>
  <c r="AP16" i="20"/>
  <c r="I16" i="20"/>
  <c r="AQ14" i="20"/>
  <c r="J14" i="20"/>
  <c r="AZ14" i="20" s="1"/>
  <c r="BC14" i="20" s="1"/>
  <c r="AQ9" i="20"/>
  <c r="J9" i="20"/>
  <c r="AQ7" i="20"/>
  <c r="J7" i="20"/>
  <c r="AK7" i="20"/>
  <c r="S7" i="20" s="1"/>
  <c r="P7" i="20"/>
  <c r="I9" i="20"/>
  <c r="AY9" i="20" s="1"/>
  <c r="BB9" i="20" s="1"/>
  <c r="AJ9" i="20"/>
  <c r="R9" i="20" s="1"/>
  <c r="AK9" i="20"/>
  <c r="S9" i="20" s="1"/>
  <c r="P9" i="20"/>
  <c r="AN7" i="20"/>
  <c r="AT7" i="20" s="1"/>
  <c r="AN9" i="20"/>
  <c r="AT9" i="20" s="1"/>
  <c r="AJ5" i="20"/>
  <c r="R5" i="20" s="1"/>
  <c r="AN5" i="20"/>
  <c r="AT5" i="20" s="1"/>
  <c r="AQ5" i="20"/>
  <c r="J5" i="20"/>
  <c r="AS8" i="20"/>
  <c r="AY8" i="20"/>
  <c r="BB8" i="20" s="1"/>
  <c r="AS62" i="20"/>
  <c r="AY62" i="20"/>
  <c r="BB62" i="20" s="1"/>
  <c r="AY23" i="20"/>
  <c r="BB23" i="20" s="1"/>
  <c r="P62" i="20"/>
  <c r="AK62" i="20"/>
  <c r="S62" i="20" s="1"/>
  <c r="AY33" i="20"/>
  <c r="BB33" i="20" s="1"/>
  <c r="AY6" i="20"/>
  <c r="BB6" i="20" s="1"/>
  <c r="AZ15" i="20"/>
  <c r="BC15" i="20" s="1"/>
  <c r="AZ17" i="20"/>
  <c r="BC17" i="20" s="1"/>
  <c r="AY25" i="20"/>
  <c r="BB25" i="20" s="1"/>
  <c r="AY17" i="20"/>
  <c r="BB17" i="20" s="1"/>
  <c r="AY20" i="20"/>
  <c r="BB20" i="20" s="1"/>
  <c r="AY28" i="20"/>
  <c r="BB28" i="20" s="1"/>
  <c r="AZ33" i="20"/>
  <c r="BC33" i="20" s="1"/>
  <c r="O62" i="20"/>
  <c r="AJ62" i="20"/>
  <c r="R62" i="20" s="1"/>
  <c r="AY63" i="20"/>
  <c r="BB63" i="20" s="1"/>
  <c r="AY31" i="20"/>
  <c r="BB31" i="20" s="1"/>
  <c r="AS31" i="20"/>
  <c r="AZ21" i="20"/>
  <c r="BC21" i="20" s="1"/>
  <c r="AZ6" i="20"/>
  <c r="BC6" i="20" s="1"/>
  <c r="AY61" i="20"/>
  <c r="BB61" i="20" s="1"/>
  <c r="AY7" i="20"/>
  <c r="BB7" i="20" s="1"/>
  <c r="AH19" i="25" l="1"/>
  <c r="AN19" i="25" s="1"/>
  <c r="AT19" i="25" s="1"/>
  <c r="BA14" i="25"/>
  <c r="BD14" i="25" s="1"/>
  <c r="AI20" i="25"/>
  <c r="AO20" i="25" s="1"/>
  <c r="AU20" i="25" s="1"/>
  <c r="AZ5" i="25"/>
  <c r="BC5" i="25" s="1"/>
  <c r="BA12" i="25"/>
  <c r="BD12" i="25" s="1"/>
  <c r="AZ7" i="25"/>
  <c r="BC7" i="25" s="1"/>
  <c r="BA19" i="21"/>
  <c r="BD19" i="21" s="1"/>
  <c r="BA7" i="21"/>
  <c r="BD7" i="21" s="1"/>
  <c r="AZ13" i="25"/>
  <c r="BC13" i="25" s="1"/>
  <c r="AI17" i="25"/>
  <c r="AO17" i="25" s="1"/>
  <c r="AU17" i="25" s="1"/>
  <c r="AT17" i="21"/>
  <c r="AZ17" i="21"/>
  <c r="BC17" i="21" s="1"/>
  <c r="K17" i="25"/>
  <c r="AR17" i="25"/>
  <c r="AZ12" i="25"/>
  <c r="BC12" i="25" s="1"/>
  <c r="AH17" i="25"/>
  <c r="AN17" i="25" s="1"/>
  <c r="AT17" i="25" s="1"/>
  <c r="K7" i="25"/>
  <c r="AR7" i="25"/>
  <c r="AZ18" i="25"/>
  <c r="BC18" i="25" s="1"/>
  <c r="J19" i="25"/>
  <c r="AQ19" i="25"/>
  <c r="P17" i="25"/>
  <c r="AK17" i="25"/>
  <c r="S17" i="25" s="1"/>
  <c r="AZ14" i="25"/>
  <c r="BC14" i="25" s="1"/>
  <c r="AL7" i="25"/>
  <c r="T7" i="25" s="1"/>
  <c r="Q7" i="25"/>
  <c r="AI7" i="25"/>
  <c r="AO7" i="25" s="1"/>
  <c r="AU7" i="25" s="1"/>
  <c r="AL19" i="25"/>
  <c r="T19" i="25" s="1"/>
  <c r="Q19" i="25"/>
  <c r="AZ11" i="25"/>
  <c r="BC11" i="25" s="1"/>
  <c r="AL17" i="25"/>
  <c r="T17" i="25" s="1"/>
  <c r="Q17" i="25"/>
  <c r="BA8" i="25"/>
  <c r="BD8" i="25" s="1"/>
  <c r="J17" i="25"/>
  <c r="AQ17" i="25"/>
  <c r="P19" i="25"/>
  <c r="AK19" i="25"/>
  <c r="S19" i="25" s="1"/>
  <c r="AL5" i="25"/>
  <c r="T5" i="25" s="1"/>
  <c r="Q5" i="25"/>
  <c r="AZ8" i="25"/>
  <c r="BC8" i="25" s="1"/>
  <c r="AL11" i="25"/>
  <c r="T11" i="25" s="1"/>
  <c r="Q11" i="25"/>
  <c r="AX18" i="25"/>
  <c r="AI5" i="25"/>
  <c r="AO5" i="25" s="1"/>
  <c r="AU5" i="25" s="1"/>
  <c r="AL13" i="25"/>
  <c r="T13" i="25" s="1"/>
  <c r="Q13" i="25"/>
  <c r="AI11" i="25"/>
  <c r="AO11" i="25" s="1"/>
  <c r="AU11" i="25" s="1"/>
  <c r="AI18" i="25"/>
  <c r="AO18" i="25" s="1"/>
  <c r="AU18" i="25" s="1"/>
  <c r="AZ6" i="25"/>
  <c r="BC6" i="25" s="1"/>
  <c r="K11" i="25"/>
  <c r="AR11" i="25"/>
  <c r="K5" i="25"/>
  <c r="AR5" i="25"/>
  <c r="AX19" i="25"/>
  <c r="AL18" i="25"/>
  <c r="T18" i="25" s="1"/>
  <c r="Q18" i="25"/>
  <c r="BA20" i="21"/>
  <c r="BD20" i="21" s="1"/>
  <c r="AZ20" i="25"/>
  <c r="BC20" i="25" s="1"/>
  <c r="AI13" i="25"/>
  <c r="AO13" i="25" s="1"/>
  <c r="AU13" i="25" s="1"/>
  <c r="BA6" i="25"/>
  <c r="BD6" i="25" s="1"/>
  <c r="K20" i="25"/>
  <c r="AR20" i="25"/>
  <c r="AI19" i="25"/>
  <c r="AO19" i="25" s="1"/>
  <c r="AU19" i="25" s="1"/>
  <c r="K18" i="25"/>
  <c r="AR18" i="25"/>
  <c r="AX17" i="25"/>
  <c r="K13" i="25"/>
  <c r="AR13" i="25"/>
  <c r="Q20" i="25"/>
  <c r="AL20" i="25"/>
  <c r="T20" i="25" s="1"/>
  <c r="AR19" i="25"/>
  <c r="K19" i="25"/>
  <c r="X23" i="22"/>
  <c r="AZ28" i="20"/>
  <c r="BC28" i="20" s="1"/>
  <c r="AY14" i="20"/>
  <c r="BB14" i="20" s="1"/>
  <c r="AC31" i="22"/>
  <c r="AX7" i="22"/>
  <c r="AZ7" i="22" s="1"/>
  <c r="BB7" i="22" s="1"/>
  <c r="AB19" i="22"/>
  <c r="AB15" i="22"/>
  <c r="AB47" i="22"/>
  <c r="AO25" i="22"/>
  <c r="AJ23" i="22"/>
  <c r="AB31" i="22"/>
  <c r="AB27" i="22"/>
  <c r="AL26" i="22"/>
  <c r="AB23" i="22"/>
  <c r="AO33" i="22"/>
  <c r="AJ15" i="22"/>
  <c r="AO26" i="22"/>
  <c r="AB26" i="22"/>
  <c r="AB34" i="22"/>
  <c r="AC17" i="22"/>
  <c r="AD39" i="22"/>
  <c r="AD23" i="22"/>
  <c r="AC25" i="22"/>
  <c r="AD31" i="22"/>
  <c r="AC33" i="22"/>
  <c r="X15" i="22"/>
  <c r="AZ22" i="20"/>
  <c r="BC22" i="20" s="1"/>
  <c r="AY21" i="20"/>
  <c r="BB21" i="20" s="1"/>
  <c r="AE17" i="22"/>
  <c r="Z15" i="22"/>
  <c r="AY15" i="20"/>
  <c r="BB15" i="20" s="1"/>
  <c r="AE33" i="22"/>
  <c r="AN19" i="22"/>
  <c r="AN35" i="22"/>
  <c r="AY32" i="20"/>
  <c r="BB32" i="20" s="1"/>
  <c r="AY5" i="20"/>
  <c r="BB5" i="20" s="1"/>
  <c r="AZ23" i="20"/>
  <c r="BC23" i="20" s="1"/>
  <c r="AO18" i="22"/>
  <c r="AZ29" i="20"/>
  <c r="BC29" i="20" s="1"/>
  <c r="T26" i="22"/>
  <c r="T34" i="22"/>
  <c r="T18" i="22"/>
  <c r="AD47" i="22"/>
  <c r="T23" i="22"/>
  <c r="T15" i="22"/>
  <c r="T31" i="22"/>
  <c r="T47" i="22"/>
  <c r="T39" i="22"/>
  <c r="AC41" i="22"/>
  <c r="AC15" i="22"/>
  <c r="AC23" i="22"/>
  <c r="AC39" i="22"/>
  <c r="AL35" i="22"/>
  <c r="AZ9" i="20"/>
  <c r="BC9" i="20" s="1"/>
  <c r="AL27" i="22"/>
  <c r="R34" i="22"/>
  <c r="R18" i="22"/>
  <c r="R26" i="22"/>
  <c r="AL18" i="22"/>
  <c r="P35" i="22"/>
  <c r="P27" i="22"/>
  <c r="P19" i="22"/>
  <c r="P24" i="22"/>
  <c r="P32" i="22"/>
  <c r="P16" i="22"/>
  <c r="AY29" i="20"/>
  <c r="BB29" i="20" s="1"/>
  <c r="AS29" i="20"/>
  <c r="P23" i="22"/>
  <c r="P31" i="22"/>
  <c r="P15" i="22"/>
  <c r="Z23" i="22"/>
  <c r="O32" i="22"/>
  <c r="O16" i="22"/>
  <c r="O24" i="22"/>
  <c r="O48" i="22"/>
  <c r="O40" i="22"/>
  <c r="X41" i="22"/>
  <c r="AH17" i="22"/>
  <c r="AH25" i="22"/>
  <c r="X33" i="22"/>
  <c r="X49" i="22"/>
  <c r="X17" i="22"/>
  <c r="AY13" i="20"/>
  <c r="BB13" i="20" s="1"/>
  <c r="N48" i="22"/>
  <c r="N40" i="22"/>
  <c r="N24" i="22"/>
  <c r="N32" i="22"/>
  <c r="N16" i="22"/>
  <c r="X31" i="22"/>
  <c r="AT8" i="22"/>
  <c r="BA8" i="22"/>
  <c r="X47" i="22"/>
  <c r="W27" i="22"/>
  <c r="W35" i="22"/>
  <c r="M19" i="22"/>
  <c r="M35" i="22"/>
  <c r="M27" i="22"/>
  <c r="M15" i="22"/>
  <c r="M23" i="22"/>
  <c r="M31" i="22"/>
  <c r="M47" i="22"/>
  <c r="M39" i="22"/>
  <c r="AT11" i="21"/>
  <c r="AZ11" i="21"/>
  <c r="BC11" i="21" s="1"/>
  <c r="AT13" i="21"/>
  <c r="AZ13" i="21"/>
  <c r="BC13" i="21" s="1"/>
  <c r="AT7" i="21"/>
  <c r="AZ7" i="21"/>
  <c r="BC7" i="21" s="1"/>
  <c r="AU5" i="21"/>
  <c r="BA5" i="21"/>
  <c r="BD5" i="21" s="1"/>
  <c r="AT5" i="21"/>
  <c r="AZ5" i="21"/>
  <c r="BC5" i="21" s="1"/>
  <c r="AZ20" i="20"/>
  <c r="BC20" i="20" s="1"/>
  <c r="AY16" i="20"/>
  <c r="BB16" i="20" s="1"/>
  <c r="AZ7" i="20"/>
  <c r="BC7" i="20" s="1"/>
  <c r="AZ5" i="20"/>
  <c r="BC5" i="20" s="1"/>
  <c r="BA19" i="25" l="1"/>
  <c r="BD19" i="25" s="1"/>
  <c r="AZ19" i="25"/>
  <c r="BC19" i="25" s="1"/>
  <c r="BA20" i="25"/>
  <c r="BD20" i="25" s="1"/>
  <c r="BA5" i="25"/>
  <c r="BD5" i="25" s="1"/>
  <c r="BA13" i="25"/>
  <c r="BD13" i="25" s="1"/>
  <c r="BA18" i="25"/>
  <c r="BD18" i="25" s="1"/>
  <c r="AZ17" i="25"/>
  <c r="BC17" i="25" s="1"/>
  <c r="BA17" i="25"/>
  <c r="BD17" i="25" s="1"/>
  <c r="BA11" i="25"/>
  <c r="BD11" i="25" s="1"/>
  <c r="BA7" i="25"/>
  <c r="BD7" i="25" s="1"/>
  <c r="AV8" i="22"/>
  <c r="AS8" i="22"/>
  <c r="AU8" i="22" l="1"/>
  <c r="AX8" i="22"/>
  <c r="AZ8" i="22" s="1"/>
  <c r="BB8" i="22" s="1"/>
  <c r="Z40" i="18" l="1"/>
  <c r="Y40" i="18"/>
  <c r="Z38" i="18"/>
  <c r="Y38" i="18"/>
  <c r="Z20" i="18"/>
  <c r="Y20" i="18"/>
  <c r="Z19" i="18"/>
  <c r="AI19" i="18" s="1"/>
  <c r="Y19" i="18"/>
  <c r="AH19" i="18" s="1"/>
  <c r="Z18" i="18"/>
  <c r="AI18" i="18" s="1"/>
  <c r="Y18" i="18"/>
  <c r="AH18" i="18" s="1"/>
  <c r="Z17" i="18"/>
  <c r="AI17" i="18" s="1"/>
  <c r="Y17" i="18"/>
  <c r="AH17" i="18" s="1"/>
  <c r="Z14" i="18"/>
  <c r="Y14" i="18"/>
  <c r="AH14" i="18" s="1"/>
  <c r="Z13" i="18"/>
  <c r="Y13" i="18"/>
  <c r="Z12" i="18"/>
  <c r="Y12" i="18"/>
  <c r="Z11" i="18"/>
  <c r="Y11" i="18"/>
  <c r="AH11" i="18" s="1"/>
  <c r="Y6" i="18"/>
  <c r="AH6" i="18" s="1"/>
  <c r="Z6" i="18"/>
  <c r="AI6" i="18" s="1"/>
  <c r="Y7" i="18"/>
  <c r="AH7" i="18" s="1"/>
  <c r="Z7" i="18"/>
  <c r="AI7" i="18" s="1"/>
  <c r="Y8" i="18"/>
  <c r="Z8" i="18"/>
  <c r="Z5" i="18"/>
  <c r="Y5" i="18"/>
  <c r="AF40" i="18"/>
  <c r="AC40" i="18"/>
  <c r="AI40" i="18" s="1"/>
  <c r="AO40" i="18" s="1"/>
  <c r="AB40" i="18"/>
  <c r="AH40" i="18" s="1"/>
  <c r="AN40" i="18" s="1"/>
  <c r="AF38" i="18"/>
  <c r="AE38" i="18"/>
  <c r="AC38" i="18"/>
  <c r="AB38" i="18"/>
  <c r="AF20" i="18"/>
  <c r="AF19" i="18"/>
  <c r="AE19" i="18"/>
  <c r="AF18" i="18"/>
  <c r="AE18" i="18"/>
  <c r="AF17" i="18"/>
  <c r="AE17" i="18"/>
  <c r="AI14" i="18"/>
  <c r="AI11" i="18"/>
  <c r="AF11" i="18"/>
  <c r="AE6" i="18"/>
  <c r="AE7" i="18"/>
  <c r="AF7" i="18"/>
  <c r="AE8" i="18"/>
  <c r="AF8" i="18"/>
  <c r="AC20" i="18"/>
  <c r="AB20" i="18"/>
  <c r="AE20" i="18" s="1"/>
  <c r="AC19" i="18"/>
  <c r="AB19" i="18"/>
  <c r="AC18" i="18"/>
  <c r="AB18" i="18"/>
  <c r="AC17" i="18"/>
  <c r="AB17" i="18"/>
  <c r="AC14" i="18"/>
  <c r="AF14" i="18" s="1"/>
  <c r="AB14" i="18"/>
  <c r="AE14" i="18" s="1"/>
  <c r="AC13" i="18"/>
  <c r="AI13" i="18" s="1"/>
  <c r="AB13" i="18"/>
  <c r="AE13" i="18" s="1"/>
  <c r="AC12" i="18"/>
  <c r="AI12" i="18" s="1"/>
  <c r="AB12" i="18"/>
  <c r="AH12" i="18" s="1"/>
  <c r="AC11" i="18"/>
  <c r="AB11" i="18"/>
  <c r="AE11" i="18" s="1"/>
  <c r="AB6" i="18"/>
  <c r="AC6" i="18"/>
  <c r="AF6" i="18" s="1"/>
  <c r="AB7" i="18"/>
  <c r="AC7" i="18"/>
  <c r="AB8" i="18"/>
  <c r="AH8" i="18" s="1"/>
  <c r="AC8" i="18"/>
  <c r="AC5" i="18"/>
  <c r="AB5" i="18"/>
  <c r="AF5" i="18"/>
  <c r="Y61" i="13"/>
  <c r="X61" i="13"/>
  <c r="AA61" i="13"/>
  <c r="AD61" i="13" s="1"/>
  <c r="AB61" i="13"/>
  <c r="AE61" i="13" s="1"/>
  <c r="Y33" i="13"/>
  <c r="X33" i="13"/>
  <c r="Y32" i="13"/>
  <c r="X32" i="13"/>
  <c r="Y31" i="13"/>
  <c r="X31" i="13"/>
  <c r="Y30" i="13"/>
  <c r="X30" i="13"/>
  <c r="Y29" i="13"/>
  <c r="X29" i="13"/>
  <c r="Y28" i="13"/>
  <c r="X28" i="13"/>
  <c r="Y25" i="13"/>
  <c r="X25" i="13"/>
  <c r="Y24" i="13"/>
  <c r="X24" i="13"/>
  <c r="Y23" i="13"/>
  <c r="X23" i="13"/>
  <c r="Y22" i="13"/>
  <c r="X22" i="13"/>
  <c r="Y21" i="13"/>
  <c r="X21" i="13"/>
  <c r="Y20" i="13"/>
  <c r="X20" i="13"/>
  <c r="Y17" i="13"/>
  <c r="X17" i="13"/>
  <c r="Y16" i="13"/>
  <c r="X16" i="13"/>
  <c r="Y15" i="13"/>
  <c r="X15" i="13"/>
  <c r="Y14" i="13"/>
  <c r="X14" i="13"/>
  <c r="Y13" i="13"/>
  <c r="X13" i="13"/>
  <c r="Y12" i="13"/>
  <c r="X12" i="13"/>
  <c r="AE30" i="13"/>
  <c r="AD30" i="13"/>
  <c r="AD14" i="13"/>
  <c r="AB33" i="13"/>
  <c r="AE33" i="13" s="1"/>
  <c r="AA33" i="13"/>
  <c r="AD33" i="13" s="1"/>
  <c r="AB32" i="13"/>
  <c r="AE32" i="13" s="1"/>
  <c r="AA32" i="13"/>
  <c r="AD32" i="13" s="1"/>
  <c r="AB31" i="13"/>
  <c r="AE31" i="13" s="1"/>
  <c r="AA31" i="13"/>
  <c r="AD31" i="13" s="1"/>
  <c r="AB30" i="13"/>
  <c r="AA30" i="13"/>
  <c r="AB29" i="13"/>
  <c r="AE29" i="13" s="1"/>
  <c r="AA29" i="13"/>
  <c r="AB28" i="13"/>
  <c r="AE28" i="13" s="1"/>
  <c r="AA28" i="13"/>
  <c r="AD28" i="13" s="1"/>
  <c r="AB25" i="13"/>
  <c r="AE25" i="13" s="1"/>
  <c r="AA25" i="13"/>
  <c r="AD25" i="13" s="1"/>
  <c r="AB24" i="13"/>
  <c r="AE24" i="13" s="1"/>
  <c r="AA24" i="13"/>
  <c r="AB23" i="13"/>
  <c r="AE23" i="13" s="1"/>
  <c r="AA23" i="13"/>
  <c r="AD23" i="13" s="1"/>
  <c r="AB22" i="13"/>
  <c r="AE22" i="13" s="1"/>
  <c r="AA22" i="13"/>
  <c r="AD22" i="13" s="1"/>
  <c r="AB21" i="13"/>
  <c r="AE21" i="13" s="1"/>
  <c r="AA21" i="13"/>
  <c r="AG21" i="13" s="1"/>
  <c r="AB20" i="13"/>
  <c r="AE20" i="13" s="1"/>
  <c r="AA20" i="13"/>
  <c r="AD20" i="13" s="1"/>
  <c r="AA17" i="13"/>
  <c r="AD17" i="13" s="1"/>
  <c r="AB17" i="13"/>
  <c r="AE17" i="13" s="1"/>
  <c r="AB16" i="13"/>
  <c r="AE16" i="13" s="1"/>
  <c r="AA16" i="13"/>
  <c r="AB15" i="13"/>
  <c r="AE15" i="13" s="1"/>
  <c r="AA15" i="13"/>
  <c r="AD15" i="13" s="1"/>
  <c r="AB14" i="13"/>
  <c r="AE14" i="13" s="1"/>
  <c r="AA14" i="13"/>
  <c r="AB13" i="13"/>
  <c r="AE13" i="13" s="1"/>
  <c r="AA13" i="13"/>
  <c r="AD13" i="13" s="1"/>
  <c r="AB12" i="13"/>
  <c r="AE12" i="13" s="1"/>
  <c r="AA12" i="13"/>
  <c r="AD12" i="13" s="1"/>
  <c r="AA6" i="13"/>
  <c r="AD6" i="13" s="1"/>
  <c r="AB6" i="13"/>
  <c r="AE6" i="13" s="1"/>
  <c r="AA7" i="13"/>
  <c r="AD7" i="13" s="1"/>
  <c r="AB7" i="13"/>
  <c r="AE7" i="13" s="1"/>
  <c r="AA8" i="13"/>
  <c r="AD8" i="13" s="1"/>
  <c r="AB8" i="13"/>
  <c r="AE8" i="13" s="1"/>
  <c r="AA9" i="13"/>
  <c r="AD9" i="13" s="1"/>
  <c r="AB9" i="13"/>
  <c r="AE9" i="13" s="1"/>
  <c r="AB5" i="13"/>
  <c r="AE5" i="13" s="1"/>
  <c r="AA5" i="13"/>
  <c r="AD5" i="13" s="1"/>
  <c r="X6" i="13"/>
  <c r="Y6" i="13"/>
  <c r="X7" i="13"/>
  <c r="Y7" i="13"/>
  <c r="X8" i="13"/>
  <c r="Y8" i="13"/>
  <c r="X9" i="13"/>
  <c r="Y9" i="13"/>
  <c r="Y5" i="13"/>
  <c r="X5" i="13"/>
  <c r="AH13" i="13" l="1"/>
  <c r="AH21" i="13"/>
  <c r="AH29" i="13"/>
  <c r="AG9" i="13"/>
  <c r="AG14" i="13"/>
  <c r="AG22" i="13"/>
  <c r="AG30" i="13"/>
  <c r="AH20" i="18"/>
  <c r="AE12" i="18"/>
  <c r="AF12" i="18"/>
  <c r="AF13" i="18"/>
  <c r="AI20" i="18"/>
  <c r="AH5" i="18"/>
  <c r="AH13" i="18"/>
  <c r="AI8" i="18"/>
  <c r="AH31" i="13"/>
  <c r="AG29" i="13"/>
  <c r="AH33" i="13"/>
  <c r="AG32" i="13"/>
  <c r="AH23" i="13"/>
  <c r="AH25" i="13"/>
  <c r="AH15" i="13"/>
  <c r="AG12" i="13"/>
  <c r="AH7" i="13"/>
  <c r="AG7" i="13"/>
  <c r="AG5" i="13"/>
  <c r="AH6" i="13"/>
  <c r="AG16" i="13"/>
  <c r="AG24" i="13"/>
  <c r="AD24" i="13"/>
  <c r="AH24" i="13"/>
  <c r="AH12" i="13"/>
  <c r="AH16" i="13"/>
  <c r="AH20" i="13"/>
  <c r="AH22" i="13"/>
  <c r="AH28" i="13"/>
  <c r="AH30" i="13"/>
  <c r="AH32" i="13"/>
  <c r="AH17" i="13"/>
  <c r="AH5" i="13"/>
  <c r="AG8" i="13"/>
  <c r="AG6" i="13"/>
  <c r="AD29" i="13"/>
  <c r="AG13" i="13"/>
  <c r="AG15" i="13"/>
  <c r="AG23" i="13"/>
  <c r="AG25" i="13"/>
  <c r="AG33" i="13"/>
  <c r="AH14" i="13"/>
  <c r="AH9" i="13"/>
  <c r="AH8" i="13"/>
  <c r="AG31" i="13"/>
  <c r="AG28" i="13"/>
  <c r="AD21" i="13"/>
  <c r="AG20" i="13"/>
  <c r="AG17" i="13"/>
  <c r="AD16" i="13"/>
  <c r="AI38" i="18"/>
  <c r="AO38" i="18" s="1"/>
  <c r="AH38" i="18"/>
  <c r="AN38" i="18" s="1"/>
  <c r="AE40" i="18"/>
  <c r="AI5" i="18"/>
  <c r="AE5" i="18"/>
  <c r="AH61" i="13"/>
  <c r="AG61" i="13"/>
  <c r="AG44" i="9" l="1"/>
  <c r="V5" i="18" l="1"/>
  <c r="W5" i="18"/>
  <c r="V6" i="18"/>
  <c r="W6" i="18"/>
  <c r="V7" i="18"/>
  <c r="W7" i="18"/>
  <c r="V8" i="18"/>
  <c r="W8" i="18"/>
  <c r="B24" i="19" l="1"/>
  <c r="E19" i="19"/>
  <c r="B19" i="19"/>
  <c r="B12" i="19"/>
  <c r="E7" i="19"/>
  <c r="B7" i="19"/>
  <c r="V5" i="13" l="1"/>
  <c r="U5" i="13"/>
  <c r="B22" i="19" l="1"/>
  <c r="E17" i="19"/>
  <c r="B17" i="19"/>
  <c r="B10" i="19"/>
  <c r="E5" i="19"/>
  <c r="B5" i="19"/>
  <c r="H40" i="18"/>
  <c r="G40" i="18"/>
  <c r="H38" i="18"/>
  <c r="G38" i="18"/>
  <c r="H20" i="18"/>
  <c r="G20" i="18"/>
  <c r="H19" i="18"/>
  <c r="G19" i="18"/>
  <c r="H18" i="18"/>
  <c r="G18" i="18"/>
  <c r="H17" i="18"/>
  <c r="G17" i="18"/>
  <c r="H14" i="18"/>
  <c r="G14" i="18"/>
  <c r="H13" i="18"/>
  <c r="G13" i="18"/>
  <c r="H12" i="18"/>
  <c r="G12" i="18"/>
  <c r="H11" i="18"/>
  <c r="G11" i="18"/>
  <c r="G6" i="18"/>
  <c r="AN6" i="18" s="1"/>
  <c r="H6" i="18"/>
  <c r="AO6" i="18" s="1"/>
  <c r="G7" i="18"/>
  <c r="AN7" i="18" s="1"/>
  <c r="H7" i="18"/>
  <c r="AO7" i="18" s="1"/>
  <c r="G8" i="18"/>
  <c r="AN8" i="18" s="1"/>
  <c r="H8" i="18"/>
  <c r="AO8" i="18" s="1"/>
  <c r="H5" i="18"/>
  <c r="AO5" i="18" s="1"/>
  <c r="G5" i="18"/>
  <c r="AN5" i="18" s="1"/>
  <c r="G61" i="13"/>
  <c r="F61" i="13"/>
  <c r="G33" i="13"/>
  <c r="F33" i="13"/>
  <c r="G32" i="13"/>
  <c r="F32" i="13"/>
  <c r="G31" i="13"/>
  <c r="F31" i="13"/>
  <c r="G30" i="13"/>
  <c r="F30" i="13"/>
  <c r="G29" i="13"/>
  <c r="F29" i="13"/>
  <c r="G28" i="13"/>
  <c r="F28" i="13"/>
  <c r="G25" i="13"/>
  <c r="F25" i="13"/>
  <c r="G24" i="13"/>
  <c r="F24" i="13"/>
  <c r="G23" i="13"/>
  <c r="F23" i="13"/>
  <c r="G22" i="13"/>
  <c r="F22" i="13"/>
  <c r="G21" i="13"/>
  <c r="F21" i="13"/>
  <c r="G20" i="13"/>
  <c r="F20" i="13"/>
  <c r="G17" i="13"/>
  <c r="F17" i="13"/>
  <c r="G16" i="13"/>
  <c r="F16" i="13"/>
  <c r="G15" i="13"/>
  <c r="F15" i="13"/>
  <c r="G14" i="13"/>
  <c r="F14" i="13"/>
  <c r="G13" i="13"/>
  <c r="F13" i="13"/>
  <c r="G12" i="13"/>
  <c r="F12" i="13"/>
  <c r="F6" i="13"/>
  <c r="G6" i="13"/>
  <c r="F7" i="13"/>
  <c r="G7" i="13"/>
  <c r="F8" i="13"/>
  <c r="G8" i="13"/>
  <c r="F9" i="13"/>
  <c r="G9" i="13"/>
  <c r="G5" i="13"/>
  <c r="AN5" i="13" s="1"/>
  <c r="F5" i="13"/>
  <c r="AT5" i="13" l="1"/>
  <c r="AM5" i="13"/>
  <c r="AS5" i="13" s="1"/>
  <c r="AP5" i="13"/>
  <c r="K12" i="9"/>
  <c r="AO12" i="9" s="1"/>
  <c r="J12" i="9"/>
  <c r="AN12" i="9" s="1"/>
  <c r="I12" i="9"/>
  <c r="AM12" i="9" s="1"/>
  <c r="K11" i="9"/>
  <c r="AO11" i="9" s="1"/>
  <c r="J11" i="9"/>
  <c r="AN11" i="9" s="1"/>
  <c r="I11" i="9"/>
  <c r="AM11" i="9" s="1"/>
  <c r="H11" i="9"/>
  <c r="AL11" i="9" s="1"/>
  <c r="K10" i="9"/>
  <c r="AO10" i="9" s="1"/>
  <c r="J10" i="9"/>
  <c r="AN10" i="9" s="1"/>
  <c r="I10" i="9"/>
  <c r="AM10" i="9" s="1"/>
  <c r="H10" i="9"/>
  <c r="AL10" i="9" s="1"/>
  <c r="K9" i="9"/>
  <c r="AO9" i="9" s="1"/>
  <c r="J9" i="9"/>
  <c r="AN9" i="9" s="1"/>
  <c r="I9" i="9"/>
  <c r="AM9" i="9" s="1"/>
  <c r="H9" i="9"/>
  <c r="AL9" i="9" s="1"/>
  <c r="K8" i="9"/>
  <c r="AO8" i="9" s="1"/>
  <c r="J8" i="9"/>
  <c r="AN8" i="9" s="1"/>
  <c r="I8" i="9"/>
  <c r="AM8" i="9" s="1"/>
  <c r="H8" i="9"/>
  <c r="AL8" i="9" s="1"/>
  <c r="K7" i="9"/>
  <c r="AO7" i="9" s="1"/>
  <c r="J7" i="9"/>
  <c r="AN7" i="9" s="1"/>
  <c r="I7" i="9"/>
  <c r="AM7" i="9" s="1"/>
  <c r="H7" i="9"/>
  <c r="AL7" i="9" s="1"/>
  <c r="F12" i="9"/>
  <c r="AJ12" i="9" s="1"/>
  <c r="E12" i="9"/>
  <c r="AI12" i="9" s="1"/>
  <c r="D12" i="9"/>
  <c r="AH12" i="9" s="1"/>
  <c r="F11" i="9"/>
  <c r="AJ11" i="9" s="1"/>
  <c r="E11" i="9"/>
  <c r="AI11" i="9" s="1"/>
  <c r="D11" i="9"/>
  <c r="AH11" i="9" s="1"/>
  <c r="C11" i="9"/>
  <c r="AG11" i="9" s="1"/>
  <c r="F10" i="9"/>
  <c r="AJ10" i="9" s="1"/>
  <c r="E10" i="9"/>
  <c r="AI10" i="9" s="1"/>
  <c r="D10" i="9"/>
  <c r="AH10" i="9" s="1"/>
  <c r="C10" i="9"/>
  <c r="AG10" i="9" s="1"/>
  <c r="F9" i="9"/>
  <c r="AJ9" i="9" s="1"/>
  <c r="E9" i="9"/>
  <c r="AI9" i="9" s="1"/>
  <c r="D9" i="9"/>
  <c r="AH9" i="9" s="1"/>
  <c r="C9" i="9"/>
  <c r="AG9" i="9" s="1"/>
  <c r="F8" i="9"/>
  <c r="AJ8" i="9" s="1"/>
  <c r="E8" i="9"/>
  <c r="AI8" i="9" s="1"/>
  <c r="D8" i="9"/>
  <c r="AH8" i="9" s="1"/>
  <c r="C8" i="9"/>
  <c r="AG8" i="9" s="1"/>
  <c r="F7" i="9"/>
  <c r="AJ7" i="9" s="1"/>
  <c r="E7" i="9"/>
  <c r="AI7" i="9" s="1"/>
  <c r="D7" i="9"/>
  <c r="AH7" i="9" s="1"/>
  <c r="C7" i="9"/>
  <c r="AG7" i="9" s="1"/>
  <c r="AO36" i="9" l="1"/>
  <c r="AO28" i="9"/>
  <c r="AO20" i="9"/>
  <c r="AO35" i="9"/>
  <c r="AO27" i="9"/>
  <c r="AO19" i="9"/>
  <c r="AO18" i="9"/>
  <c r="AO34" i="9"/>
  <c r="AO26" i="9"/>
  <c r="AO25" i="9"/>
  <c r="AO17" i="9"/>
  <c r="AO33" i="9"/>
  <c r="AO32" i="9"/>
  <c r="AO24" i="9"/>
  <c r="AO16" i="9"/>
  <c r="AO23" i="9"/>
  <c r="AO15" i="9"/>
  <c r="AO31" i="9"/>
  <c r="AN36" i="9"/>
  <c r="AN28" i="9"/>
  <c r="AN20" i="9"/>
  <c r="AN27" i="9"/>
  <c r="AN35" i="9"/>
  <c r="AN19" i="9"/>
  <c r="AN18" i="9"/>
  <c r="AN34" i="9"/>
  <c r="AN26" i="9"/>
  <c r="AN17" i="9"/>
  <c r="AN25" i="9"/>
  <c r="AN33" i="9"/>
  <c r="AN24" i="9"/>
  <c r="AN32" i="9"/>
  <c r="AN16" i="9"/>
  <c r="AN15" i="9"/>
  <c r="AN31" i="9"/>
  <c r="AN23" i="9"/>
  <c r="AM28" i="9"/>
  <c r="AM20" i="9"/>
  <c r="AM36" i="9"/>
  <c r="AM27" i="9"/>
  <c r="AM35" i="9"/>
  <c r="AM19" i="9"/>
  <c r="AM26" i="9"/>
  <c r="AM18" i="9"/>
  <c r="AM34" i="9"/>
  <c r="AM25" i="9"/>
  <c r="AM33" i="9"/>
  <c r="AM17" i="9"/>
  <c r="AM24" i="9"/>
  <c r="AM32" i="9"/>
  <c r="AM16" i="9"/>
  <c r="AM23" i="9"/>
  <c r="AM15" i="9"/>
  <c r="AM31" i="9"/>
  <c r="AL27" i="9"/>
  <c r="AL35" i="9"/>
  <c r="AL19" i="9"/>
  <c r="AL18" i="9"/>
  <c r="AL26" i="9"/>
  <c r="AL34" i="9"/>
  <c r="AL33" i="9"/>
  <c r="AL17" i="9"/>
  <c r="AL25" i="9"/>
  <c r="AL16" i="9"/>
  <c r="AL32" i="9"/>
  <c r="AL24" i="9"/>
  <c r="AL31" i="9"/>
  <c r="AL23" i="9"/>
  <c r="AL15" i="9"/>
  <c r="AJ28" i="9"/>
  <c r="AJ20" i="9"/>
  <c r="AJ36" i="9"/>
  <c r="AJ19" i="9"/>
  <c r="AJ27" i="9"/>
  <c r="AJ35" i="9"/>
  <c r="AJ34" i="9"/>
  <c r="AJ26" i="9"/>
  <c r="AJ18" i="9"/>
  <c r="AJ25" i="9"/>
  <c r="AJ33" i="9"/>
  <c r="AJ17" i="9"/>
  <c r="AJ32" i="9"/>
  <c r="AJ24" i="9"/>
  <c r="AJ16" i="9"/>
  <c r="AJ23" i="9"/>
  <c r="AJ31" i="9"/>
  <c r="AJ15" i="9"/>
  <c r="AI36" i="9"/>
  <c r="AI20" i="9"/>
  <c r="AI28" i="9"/>
  <c r="AI35" i="9"/>
  <c r="AI27" i="9"/>
  <c r="AI19" i="9"/>
  <c r="AI18" i="9"/>
  <c r="AI34" i="9"/>
  <c r="AI26" i="9"/>
  <c r="AI33" i="9"/>
  <c r="AI25" i="9"/>
  <c r="AI17" i="9"/>
  <c r="AI16" i="9"/>
  <c r="AI24" i="9"/>
  <c r="AI32" i="9"/>
  <c r="AI31" i="9"/>
  <c r="AI23" i="9"/>
  <c r="AI15" i="9"/>
  <c r="AH28" i="9"/>
  <c r="AH36" i="9"/>
  <c r="AH20" i="9"/>
  <c r="AH27" i="9"/>
  <c r="AH19" i="9"/>
  <c r="AH35" i="9"/>
  <c r="AH34" i="9"/>
  <c r="AH18" i="9"/>
  <c r="AH26" i="9"/>
  <c r="AH33" i="9"/>
  <c r="AH17" i="9"/>
  <c r="AH25" i="9"/>
  <c r="AH16" i="9"/>
  <c r="AH24" i="9"/>
  <c r="AH32" i="9"/>
  <c r="AH15" i="9"/>
  <c r="AH31" i="9"/>
  <c r="AH23" i="9"/>
  <c r="AG19" i="9"/>
  <c r="AG35" i="9"/>
  <c r="AG27" i="9"/>
  <c r="AG34" i="9"/>
  <c r="AG26" i="9"/>
  <c r="AG18" i="9"/>
  <c r="AG25" i="9"/>
  <c r="AG17" i="9"/>
  <c r="AG33" i="9"/>
  <c r="AG16" i="9"/>
  <c r="AG24" i="9"/>
  <c r="AG32" i="9"/>
  <c r="AG15" i="9"/>
  <c r="AG23" i="9"/>
  <c r="AG31" i="9"/>
  <c r="W20" i="18"/>
  <c r="AO20" i="18" s="1"/>
  <c r="W19" i="18"/>
  <c r="AO19" i="18" s="1"/>
  <c r="M19" i="18"/>
  <c r="W18" i="18"/>
  <c r="AO18" i="18" s="1"/>
  <c r="M18" i="18"/>
  <c r="P18" i="18" s="1"/>
  <c r="V14" i="18"/>
  <c r="AN14" i="18" s="1"/>
  <c r="AQ7" i="18"/>
  <c r="K7" i="18"/>
  <c r="M5" i="18"/>
  <c r="M40" i="18"/>
  <c r="B23" i="19" s="1"/>
  <c r="W38" i="18"/>
  <c r="N38" i="18"/>
  <c r="AR38" i="18"/>
  <c r="M20" i="18"/>
  <c r="P20" i="18" s="1"/>
  <c r="AR20" i="18"/>
  <c r="V19" i="18"/>
  <c r="AN19" i="18" s="1"/>
  <c r="N19" i="18"/>
  <c r="AL19" i="18" s="1"/>
  <c r="K19" i="18"/>
  <c r="V17" i="18"/>
  <c r="AN17" i="18" s="1"/>
  <c r="M17" i="18"/>
  <c r="P17" i="18" s="1"/>
  <c r="AQ17" i="18"/>
  <c r="N14" i="18"/>
  <c r="Q14" i="18" s="1"/>
  <c r="W12" i="18"/>
  <c r="AO12" i="18" s="1"/>
  <c r="V12" i="18"/>
  <c r="AN12" i="18" s="1"/>
  <c r="N12" i="18"/>
  <c r="AL12" i="18" s="1"/>
  <c r="M12" i="18"/>
  <c r="AK12" i="18" s="1"/>
  <c r="K12" i="18"/>
  <c r="J12" i="18"/>
  <c r="N11" i="18"/>
  <c r="Q11" i="18" s="1"/>
  <c r="AR11" i="18"/>
  <c r="N8" i="18"/>
  <c r="AL8" i="18" s="1"/>
  <c r="K8" i="18"/>
  <c r="N7" i="18"/>
  <c r="AL7" i="18" s="1"/>
  <c r="M7" i="18"/>
  <c r="AK7" i="18" s="1"/>
  <c r="N6" i="18"/>
  <c r="Q6" i="18" s="1"/>
  <c r="M6" i="18"/>
  <c r="P6" i="18" s="1"/>
  <c r="AQ6" i="18"/>
  <c r="AX38" i="18" l="1"/>
  <c r="Q38" i="18"/>
  <c r="E18" i="19"/>
  <c r="AW12" i="18"/>
  <c r="AX12" i="18"/>
  <c r="AW19" i="18"/>
  <c r="AX8" i="18"/>
  <c r="AU8" i="18"/>
  <c r="AX7" i="18"/>
  <c r="AU7" i="18"/>
  <c r="AW17" i="18"/>
  <c r="AW6" i="18"/>
  <c r="AX19" i="18"/>
  <c r="AL38" i="18"/>
  <c r="T38" i="18" s="1"/>
  <c r="T8" i="18"/>
  <c r="T19" i="18"/>
  <c r="S7" i="18"/>
  <c r="AR6" i="18"/>
  <c r="T7" i="18"/>
  <c r="J17" i="18"/>
  <c r="N18" i="18"/>
  <c r="AL18" i="18" s="1"/>
  <c r="V18" i="18"/>
  <c r="AN18" i="18" s="1"/>
  <c r="N20" i="18"/>
  <c r="N17" i="18"/>
  <c r="AL17" i="18" s="1"/>
  <c r="AW7" i="18"/>
  <c r="V11" i="18"/>
  <c r="AN11" i="18" s="1"/>
  <c r="AQ8" i="18"/>
  <c r="W11" i="18"/>
  <c r="AO11" i="18" s="1"/>
  <c r="W17" i="18"/>
  <c r="AO17" i="18" s="1"/>
  <c r="M11" i="18"/>
  <c r="AK11" i="18" s="1"/>
  <c r="S11" i="18" s="1"/>
  <c r="K17" i="18"/>
  <c r="K20" i="18"/>
  <c r="J19" i="18"/>
  <c r="M8" i="18"/>
  <c r="AR14" i="18"/>
  <c r="Q19" i="18"/>
  <c r="K38" i="18"/>
  <c r="AU38" i="18"/>
  <c r="K11" i="18"/>
  <c r="AT12" i="18"/>
  <c r="J7" i="18"/>
  <c r="AL11" i="18"/>
  <c r="T11" i="18" s="1"/>
  <c r="AX20" i="18"/>
  <c r="P19" i="18"/>
  <c r="AK19" i="18"/>
  <c r="S19" i="18" s="1"/>
  <c r="V20" i="18"/>
  <c r="AN20" i="18" s="1"/>
  <c r="AK20" i="18"/>
  <c r="AQ11" i="18"/>
  <c r="J11" i="18"/>
  <c r="AR13" i="18"/>
  <c r="M13" i="18"/>
  <c r="AW14" i="18"/>
  <c r="N13" i="18"/>
  <c r="M14" i="18"/>
  <c r="J13" i="18"/>
  <c r="V13" i="18"/>
  <c r="AN13" i="18" s="1"/>
  <c r="W13" i="18"/>
  <c r="AO13" i="18" s="1"/>
  <c r="W14" i="18"/>
  <c r="AO14" i="18" s="1"/>
  <c r="AQ12" i="18"/>
  <c r="T12" i="18"/>
  <c r="S12" i="18"/>
  <c r="AL14" i="18"/>
  <c r="AK6" i="18"/>
  <c r="S6" i="18" s="1"/>
  <c r="Q8" i="18"/>
  <c r="AL6" i="18"/>
  <c r="J6" i="18"/>
  <c r="AR5" i="18"/>
  <c r="N5" i="18"/>
  <c r="AK5" i="18"/>
  <c r="P5" i="18"/>
  <c r="AQ5" i="18"/>
  <c r="V38" i="18"/>
  <c r="AK40" i="18"/>
  <c r="P40" i="18"/>
  <c r="V40" i="18"/>
  <c r="W40" i="18"/>
  <c r="AX18" i="18"/>
  <c r="P7" i="18"/>
  <c r="Q7" i="18"/>
  <c r="AR12" i="18"/>
  <c r="AK17" i="18"/>
  <c r="S17" i="18" s="1"/>
  <c r="AK18" i="18"/>
  <c r="AX5" i="18"/>
  <c r="AQ19" i="18"/>
  <c r="AR8" i="18"/>
  <c r="P12" i="18"/>
  <c r="N40" i="18"/>
  <c r="AR19" i="18"/>
  <c r="M38" i="18"/>
  <c r="B18" i="19" s="1"/>
  <c r="AR7" i="18"/>
  <c r="Q12" i="18"/>
  <c r="AR17" i="18"/>
  <c r="AX40" i="18" l="1"/>
  <c r="AW38" i="18"/>
  <c r="AT38" i="18"/>
  <c r="AW40" i="18"/>
  <c r="AT6" i="18"/>
  <c r="P11" i="18"/>
  <c r="AU12" i="18"/>
  <c r="AX13" i="18"/>
  <c r="AW5" i="18"/>
  <c r="AW13" i="18"/>
  <c r="AW18" i="18"/>
  <c r="AT18" i="18"/>
  <c r="AX17" i="18"/>
  <c r="AX6" i="18"/>
  <c r="AU6" i="18"/>
  <c r="AX11" i="18"/>
  <c r="BA11" i="18"/>
  <c r="BD11" i="18" s="1"/>
  <c r="AW20" i="18"/>
  <c r="AT20" i="18"/>
  <c r="AW11" i="18"/>
  <c r="AT11" i="18"/>
  <c r="AW8" i="18"/>
  <c r="AT8" i="18"/>
  <c r="BA38" i="18"/>
  <c r="BD38" i="18" s="1"/>
  <c r="AT19" i="18"/>
  <c r="Q17" i="18"/>
  <c r="T14" i="18"/>
  <c r="J8" i="18"/>
  <c r="AU20" i="18"/>
  <c r="BA20" i="18"/>
  <c r="BD20" i="18" s="1"/>
  <c r="AT7" i="18"/>
  <c r="AZ7" i="18"/>
  <c r="BC7" i="18" s="1"/>
  <c r="P8" i="18"/>
  <c r="AK8" i="18"/>
  <c r="S8" i="18" s="1"/>
  <c r="T18" i="18"/>
  <c r="K6" i="18"/>
  <c r="K14" i="18"/>
  <c r="T17" i="18"/>
  <c r="S5" i="18"/>
  <c r="T6" i="18"/>
  <c r="AU14" i="18"/>
  <c r="Q20" i="18"/>
  <c r="AL20" i="18"/>
  <c r="T20" i="18" s="1"/>
  <c r="Q18" i="18"/>
  <c r="AQ13" i="18"/>
  <c r="AT14" i="18"/>
  <c r="AT17" i="18"/>
  <c r="AZ17" i="18"/>
  <c r="BC17" i="18" s="1"/>
  <c r="AQ20" i="18"/>
  <c r="J20" i="18"/>
  <c r="AU18" i="18"/>
  <c r="S20" i="18"/>
  <c r="AL13" i="18"/>
  <c r="T13" i="18" s="1"/>
  <c r="Q13" i="18"/>
  <c r="AK13" i="18"/>
  <c r="S13" i="18" s="1"/>
  <c r="P13" i="18"/>
  <c r="AX14" i="18"/>
  <c r="K13" i="18"/>
  <c r="AQ14" i="18"/>
  <c r="J14" i="18"/>
  <c r="BA12" i="18"/>
  <c r="BD12" i="18" s="1"/>
  <c r="AZ12" i="18"/>
  <c r="BC12" i="18" s="1"/>
  <c r="P14" i="18"/>
  <c r="AK14" i="18"/>
  <c r="S14" i="18" s="1"/>
  <c r="BA8" i="18"/>
  <c r="BD8" i="18" s="1"/>
  <c r="BA7" i="18"/>
  <c r="BD7" i="18" s="1"/>
  <c r="AZ6" i="18"/>
  <c r="BC6" i="18" s="1"/>
  <c r="AL5" i="18"/>
  <c r="T5" i="18" s="1"/>
  <c r="Q5" i="18"/>
  <c r="K5" i="18"/>
  <c r="AU5" i="18"/>
  <c r="J5" i="18"/>
  <c r="S40" i="18"/>
  <c r="Q40" i="18"/>
  <c r="AL40" i="18"/>
  <c r="T40" i="18" s="1"/>
  <c r="J18" i="18"/>
  <c r="AQ18" i="18"/>
  <c r="J40" i="18"/>
  <c r="AQ40" i="18"/>
  <c r="AU40" i="18"/>
  <c r="J38" i="18"/>
  <c r="AQ38" i="18"/>
  <c r="K18" i="18"/>
  <c r="BA18" i="18" s="1"/>
  <c r="BD18" i="18" s="1"/>
  <c r="AR18" i="18"/>
  <c r="K40" i="18"/>
  <c r="AR40" i="18"/>
  <c r="S18" i="18"/>
  <c r="AT40" i="18"/>
  <c r="AZ19" i="18"/>
  <c r="BC19" i="18" s="1"/>
  <c r="AK38" i="18"/>
  <c r="S38" i="18" s="1"/>
  <c r="P38" i="18"/>
  <c r="AZ11" i="18" l="1"/>
  <c r="BC11" i="18" s="1"/>
  <c r="AU11" i="18"/>
  <c r="AT5" i="18"/>
  <c r="AU17" i="18"/>
  <c r="AZ8" i="18"/>
  <c r="BC8" i="18" s="1"/>
  <c r="BA6" i="18"/>
  <c r="BD6" i="18" s="1"/>
  <c r="AU13" i="18"/>
  <c r="AZ20" i="18"/>
  <c r="BC20" i="18" s="1"/>
  <c r="BA17" i="18"/>
  <c r="BD17" i="18" s="1"/>
  <c r="AZ14" i="18"/>
  <c r="BC14" i="18" s="1"/>
  <c r="BA14" i="18"/>
  <c r="BD14" i="18" s="1"/>
  <c r="BA5" i="18"/>
  <c r="BD5" i="18" s="1"/>
  <c r="AU19" i="18"/>
  <c r="BA19" i="18"/>
  <c r="BD19" i="18" s="1"/>
  <c r="BA13" i="18"/>
  <c r="BD13" i="18" s="1"/>
  <c r="AT13" i="18"/>
  <c r="AZ13" i="18"/>
  <c r="BC13" i="18" s="1"/>
  <c r="AZ5" i="18"/>
  <c r="BC5" i="18" s="1"/>
  <c r="AZ40" i="18"/>
  <c r="BC40" i="18" s="1"/>
  <c r="AZ38" i="18"/>
  <c r="BC38" i="18" s="1"/>
  <c r="AZ18" i="18"/>
  <c r="BC18" i="18" s="1"/>
  <c r="BA40" i="18"/>
  <c r="BD40" i="18" s="1"/>
  <c r="M6" i="13" l="1"/>
  <c r="M7" i="13"/>
  <c r="L8" i="13"/>
  <c r="M10" i="9" s="1"/>
  <c r="V61" i="13"/>
  <c r="AN61" i="13" s="1"/>
  <c r="U61" i="13"/>
  <c r="AM61" i="13" s="1"/>
  <c r="M61" i="13"/>
  <c r="AK61" i="13" s="1"/>
  <c r="L61" i="13"/>
  <c r="J61" i="13"/>
  <c r="I61" i="13"/>
  <c r="E6" i="19"/>
  <c r="B6" i="19"/>
  <c r="V32" i="13"/>
  <c r="AN32" i="13" s="1"/>
  <c r="U32" i="13"/>
  <c r="AM32" i="13" s="1"/>
  <c r="M32" i="13"/>
  <c r="L32" i="13"/>
  <c r="J32" i="13"/>
  <c r="AP32" i="13"/>
  <c r="V31" i="13"/>
  <c r="AN31" i="13" s="1"/>
  <c r="M31" i="13"/>
  <c r="L31" i="13"/>
  <c r="AQ31" i="13"/>
  <c r="I31" i="13"/>
  <c r="V30" i="13"/>
  <c r="AN30" i="13" s="1"/>
  <c r="U30" i="13"/>
  <c r="AM30" i="13" s="1"/>
  <c r="M30" i="13"/>
  <c r="J30" i="13"/>
  <c r="AP30" i="13"/>
  <c r="V29" i="13"/>
  <c r="AN29" i="13" s="1"/>
  <c r="U29" i="13"/>
  <c r="AM29" i="13" s="1"/>
  <c r="M29" i="13"/>
  <c r="L29" i="13"/>
  <c r="AQ29" i="13"/>
  <c r="AP29" i="13"/>
  <c r="V28" i="13"/>
  <c r="AN28" i="13" s="1"/>
  <c r="M28" i="13"/>
  <c r="L28" i="13"/>
  <c r="J28" i="13"/>
  <c r="I25" i="13"/>
  <c r="V24" i="13"/>
  <c r="AN24" i="13" s="1"/>
  <c r="M24" i="13"/>
  <c r="J24" i="13"/>
  <c r="V23" i="13"/>
  <c r="AN23" i="13" s="1"/>
  <c r="U23" i="13"/>
  <c r="AM23" i="13" s="1"/>
  <c r="M23" i="13"/>
  <c r="L23" i="13"/>
  <c r="AQ23" i="13"/>
  <c r="I23" i="13"/>
  <c r="V22" i="13"/>
  <c r="AN22" i="13" s="1"/>
  <c r="U22" i="13"/>
  <c r="AM22" i="13" s="1"/>
  <c r="M22" i="13"/>
  <c r="J22" i="13"/>
  <c r="AP22" i="13"/>
  <c r="V21" i="13"/>
  <c r="AN21" i="13" s="1"/>
  <c r="U21" i="13"/>
  <c r="AM21" i="13" s="1"/>
  <c r="M21" i="13"/>
  <c r="L21" i="13"/>
  <c r="AP21" i="13"/>
  <c r="V20" i="13"/>
  <c r="AN20" i="13" s="1"/>
  <c r="U20" i="13"/>
  <c r="AM20" i="13" s="1"/>
  <c r="M20" i="13"/>
  <c r="L20" i="13"/>
  <c r="J20" i="13"/>
  <c r="I20" i="13"/>
  <c r="V17" i="13"/>
  <c r="AN17" i="13" s="1"/>
  <c r="U17" i="13"/>
  <c r="AM17" i="13" s="1"/>
  <c r="L17" i="13"/>
  <c r="AP17" i="13"/>
  <c r="V16" i="13"/>
  <c r="AN16" i="13" s="1"/>
  <c r="U16" i="13"/>
  <c r="AM16" i="13" s="1"/>
  <c r="M16" i="13"/>
  <c r="J16" i="13"/>
  <c r="V15" i="13"/>
  <c r="AN15" i="13" s="1"/>
  <c r="M15" i="13"/>
  <c r="L15" i="13"/>
  <c r="AQ15" i="13"/>
  <c r="V14" i="13"/>
  <c r="AN14" i="13" s="1"/>
  <c r="U14" i="13"/>
  <c r="AM14" i="13" s="1"/>
  <c r="M14" i="13"/>
  <c r="L14" i="13"/>
  <c r="J14" i="13"/>
  <c r="AP14" i="13"/>
  <c r="V13" i="13"/>
  <c r="AN13" i="13" s="1"/>
  <c r="U13" i="13"/>
  <c r="AM13" i="13" s="1"/>
  <c r="M13" i="13"/>
  <c r="L13" i="13"/>
  <c r="AQ13" i="13"/>
  <c r="I13" i="13"/>
  <c r="V12" i="13"/>
  <c r="AN12" i="13" s="1"/>
  <c r="U12" i="13"/>
  <c r="AM12" i="13" s="1"/>
  <c r="M12" i="13"/>
  <c r="L12" i="13"/>
  <c r="O12" i="13" s="1"/>
  <c r="AQ12" i="13"/>
  <c r="I12" i="13"/>
  <c r="U9" i="13"/>
  <c r="AM9" i="13" s="1"/>
  <c r="M9" i="13"/>
  <c r="L9" i="13"/>
  <c r="AQ9" i="13"/>
  <c r="AP9" i="13"/>
  <c r="V8" i="13"/>
  <c r="AN8" i="13" s="1"/>
  <c r="M8" i="13"/>
  <c r="J8" i="13"/>
  <c r="V7" i="13"/>
  <c r="AN7" i="13" s="1"/>
  <c r="U7" i="13"/>
  <c r="AM7" i="13" s="1"/>
  <c r="L7" i="13"/>
  <c r="AQ7" i="13"/>
  <c r="I7" i="13"/>
  <c r="V6" i="13"/>
  <c r="AN6" i="13" s="1"/>
  <c r="U6" i="13"/>
  <c r="AM6" i="13" s="1"/>
  <c r="L6" i="13"/>
  <c r="AP6" i="13"/>
  <c r="M5" i="13"/>
  <c r="AQ5" i="13"/>
  <c r="AV7" i="13" l="1"/>
  <c r="AW30" i="13"/>
  <c r="AV21" i="13"/>
  <c r="AW24" i="13"/>
  <c r="AW15" i="13"/>
  <c r="AW7" i="13"/>
  <c r="AW14" i="13"/>
  <c r="AV16" i="13"/>
  <c r="AW16" i="13"/>
  <c r="AT16" i="13"/>
  <c r="AV20" i="13"/>
  <c r="AW8" i="13"/>
  <c r="AT8" i="13"/>
  <c r="AV23" i="13"/>
  <c r="AV32" i="13"/>
  <c r="AW17" i="13"/>
  <c r="AW23" i="13"/>
  <c r="AW32" i="13"/>
  <c r="AT32" i="13"/>
  <c r="AW22" i="13"/>
  <c r="AV12" i="13"/>
  <c r="AW12" i="13"/>
  <c r="AV17" i="13"/>
  <c r="AW28" i="13"/>
  <c r="AW31" i="13"/>
  <c r="AJ61" i="13"/>
  <c r="R61" i="13" s="1"/>
  <c r="B11" i="19"/>
  <c r="AK23" i="13"/>
  <c r="S23" i="13" s="1"/>
  <c r="T10" i="9"/>
  <c r="AJ28" i="13"/>
  <c r="P7" i="9"/>
  <c r="AK22" i="13"/>
  <c r="S22" i="13" s="1"/>
  <c r="T9" i="9"/>
  <c r="AK28" i="13"/>
  <c r="S28" i="13" s="1"/>
  <c r="U7" i="9"/>
  <c r="AJ31" i="13"/>
  <c r="R31" i="13" s="1"/>
  <c r="P10" i="9"/>
  <c r="AK31" i="13"/>
  <c r="S31" i="13" s="1"/>
  <c r="U10" i="9"/>
  <c r="AK7" i="13"/>
  <c r="S7" i="13" s="1"/>
  <c r="R9" i="9"/>
  <c r="AJ23" i="13"/>
  <c r="R23" i="13" s="1"/>
  <c r="O10" i="9"/>
  <c r="AK5" i="13"/>
  <c r="S5" i="13" s="1"/>
  <c r="R7" i="9"/>
  <c r="AJ7" i="13"/>
  <c r="R7" i="13" s="1"/>
  <c r="M9" i="9"/>
  <c r="O17" i="13"/>
  <c r="N12" i="9"/>
  <c r="P9" i="13"/>
  <c r="R11" i="9"/>
  <c r="AJ14" i="13"/>
  <c r="R14" i="13" s="1"/>
  <c r="N9" i="9"/>
  <c r="AK6" i="13"/>
  <c r="R8" i="9"/>
  <c r="AK14" i="13"/>
  <c r="S14" i="13" s="1"/>
  <c r="S9" i="9"/>
  <c r="S41" i="9" s="1"/>
  <c r="O21" i="13"/>
  <c r="O8" i="9"/>
  <c r="AJ13" i="13"/>
  <c r="R13" i="13" s="1"/>
  <c r="N8" i="9"/>
  <c r="AK21" i="13"/>
  <c r="S21" i="13" s="1"/>
  <c r="T8" i="9"/>
  <c r="AK30" i="13"/>
  <c r="S30" i="13" s="1"/>
  <c r="U9" i="9"/>
  <c r="AK20" i="13"/>
  <c r="S20" i="13" s="1"/>
  <c r="T7" i="9"/>
  <c r="O9" i="13"/>
  <c r="M11" i="9"/>
  <c r="P24" i="13"/>
  <c r="T11" i="9"/>
  <c r="AK12" i="13"/>
  <c r="S12" i="13" s="1"/>
  <c r="S7" i="9"/>
  <c r="AJ15" i="13"/>
  <c r="N10" i="9"/>
  <c r="AK15" i="13"/>
  <c r="S15" i="13" s="1"/>
  <c r="S10" i="9"/>
  <c r="AJ6" i="13"/>
  <c r="R6" i="13" s="1"/>
  <c r="M8" i="9"/>
  <c r="P8" i="13"/>
  <c r="R10" i="9"/>
  <c r="AK13" i="13"/>
  <c r="S13" i="13" s="1"/>
  <c r="S8" i="9"/>
  <c r="P16" i="13"/>
  <c r="S11" i="9"/>
  <c r="AJ12" i="13"/>
  <c r="R12" i="13" s="1"/>
  <c r="N7" i="9"/>
  <c r="AJ20" i="13"/>
  <c r="R20" i="13" s="1"/>
  <c r="O7" i="9"/>
  <c r="O29" i="13"/>
  <c r="P8" i="9"/>
  <c r="AK29" i="13"/>
  <c r="S29" i="13" s="1"/>
  <c r="U8" i="9"/>
  <c r="O32" i="13"/>
  <c r="P11" i="9"/>
  <c r="P32" i="13"/>
  <c r="U11" i="9"/>
  <c r="BK61" i="13"/>
  <c r="BN61" i="13" s="1"/>
  <c r="AT61" i="13"/>
  <c r="AJ21" i="13"/>
  <c r="R21" i="13" s="1"/>
  <c r="AQ17" i="13"/>
  <c r="AP16" i="13"/>
  <c r="O20" i="13"/>
  <c r="M17" i="13"/>
  <c r="AK17" i="13" s="1"/>
  <c r="S17" i="13" s="1"/>
  <c r="V9" i="13"/>
  <c r="AN9" i="13" s="1"/>
  <c r="L16" i="13"/>
  <c r="AJ16" i="13" s="1"/>
  <c r="AP24" i="13"/>
  <c r="I28" i="13"/>
  <c r="J29" i="13"/>
  <c r="L30" i="13"/>
  <c r="U31" i="13"/>
  <c r="AM31" i="13" s="1"/>
  <c r="L24" i="13"/>
  <c r="AJ24" i="13" s="1"/>
  <c r="R24" i="13" s="1"/>
  <c r="U28" i="13"/>
  <c r="AM28" i="13" s="1"/>
  <c r="AS29" i="13"/>
  <c r="U24" i="13"/>
  <c r="AM24" i="13" s="1"/>
  <c r="O13" i="13"/>
  <c r="AQ21" i="13"/>
  <c r="L22" i="13"/>
  <c r="O22" i="13" s="1"/>
  <c r="O61" i="13"/>
  <c r="U15" i="13"/>
  <c r="AM15" i="13" s="1"/>
  <c r="I15" i="13"/>
  <c r="AQ25" i="13"/>
  <c r="I30" i="13"/>
  <c r="S61" i="13"/>
  <c r="I33" i="13"/>
  <c r="AQ33" i="13"/>
  <c r="L33" i="13"/>
  <c r="M33" i="13"/>
  <c r="AK33" i="13" s="1"/>
  <c r="S33" i="13" s="1"/>
  <c r="U33" i="13"/>
  <c r="AM33" i="13" s="1"/>
  <c r="V33" i="13"/>
  <c r="AN33" i="13" s="1"/>
  <c r="L25" i="13"/>
  <c r="AJ25" i="13" s="1"/>
  <c r="R25" i="13" s="1"/>
  <c r="M25" i="13"/>
  <c r="T12" i="9" s="1"/>
  <c r="U25" i="13"/>
  <c r="AM25" i="13" s="1"/>
  <c r="V25" i="13"/>
  <c r="AN25" i="13" s="1"/>
  <c r="AJ17" i="13"/>
  <c r="R17" i="13" s="1"/>
  <c r="I32" i="13"/>
  <c r="AS21" i="13"/>
  <c r="AT20" i="13"/>
  <c r="J21" i="13"/>
  <c r="I22" i="13"/>
  <c r="J23" i="13"/>
  <c r="J15" i="13"/>
  <c r="AJ32" i="13"/>
  <c r="R32" i="13" s="1"/>
  <c r="AK32" i="13"/>
  <c r="S32" i="13" s="1"/>
  <c r="AJ29" i="13"/>
  <c r="R29" i="13" s="1"/>
  <c r="AV29" i="13"/>
  <c r="O28" i="13"/>
  <c r="P31" i="13"/>
  <c r="P29" i="13"/>
  <c r="J31" i="13"/>
  <c r="AT24" i="13"/>
  <c r="P23" i="13"/>
  <c r="AW20" i="13"/>
  <c r="AK24" i="13"/>
  <c r="S24" i="13" s="1"/>
  <c r="P21" i="13"/>
  <c r="I14" i="13"/>
  <c r="I17" i="13"/>
  <c r="J13" i="13"/>
  <c r="P13" i="13"/>
  <c r="P15" i="13"/>
  <c r="AS13" i="13"/>
  <c r="AS14" i="13"/>
  <c r="I16" i="13"/>
  <c r="AT13" i="13"/>
  <c r="AK16" i="13"/>
  <c r="S16" i="13" s="1"/>
  <c r="AS6" i="13"/>
  <c r="I9" i="13"/>
  <c r="J7" i="13"/>
  <c r="AS9" i="13"/>
  <c r="P7" i="13"/>
  <c r="AJ8" i="13"/>
  <c r="O8" i="13"/>
  <c r="U8" i="13"/>
  <c r="AM8" i="13" s="1"/>
  <c r="AK8" i="13"/>
  <c r="S8" i="13" s="1"/>
  <c r="AW6" i="13"/>
  <c r="J6" i="13"/>
  <c r="J9" i="13"/>
  <c r="AJ9" i="13"/>
  <c r="R9" i="13" s="1"/>
  <c r="I6" i="13"/>
  <c r="AK9" i="13"/>
  <c r="S9" i="13" s="1"/>
  <c r="AV9" i="13"/>
  <c r="J5" i="13"/>
  <c r="P5" i="13"/>
  <c r="I5" i="13"/>
  <c r="L5" i="13"/>
  <c r="M7" i="9" s="1"/>
  <c r="AS12" i="13"/>
  <c r="AP13" i="13"/>
  <c r="AV6" i="13"/>
  <c r="O7" i="13"/>
  <c r="AP12" i="13"/>
  <c r="AV14" i="13"/>
  <c r="O15" i="13"/>
  <c r="AP20" i="13"/>
  <c r="I21" i="13"/>
  <c r="AV22" i="13"/>
  <c r="O23" i="13"/>
  <c r="I29" i="13"/>
  <c r="AV30" i="13"/>
  <c r="O31" i="13"/>
  <c r="AP61" i="13"/>
  <c r="AQ61" i="13"/>
  <c r="AQ20" i="13"/>
  <c r="O6" i="13"/>
  <c r="AV13" i="13"/>
  <c r="O14" i="13"/>
  <c r="AP25" i="13"/>
  <c r="AQ28" i="13"/>
  <c r="AW5" i="13"/>
  <c r="P6" i="13"/>
  <c r="J12" i="13"/>
  <c r="AW13" i="13"/>
  <c r="P14" i="13"/>
  <c r="AW21" i="13"/>
  <c r="P22" i="13"/>
  <c r="AW29" i="13"/>
  <c r="P30" i="13"/>
  <c r="AV61" i="13"/>
  <c r="AQ8" i="13"/>
  <c r="AQ16" i="13"/>
  <c r="AQ24" i="13"/>
  <c r="AQ32" i="13"/>
  <c r="AW61" i="13"/>
  <c r="AP7" i="13"/>
  <c r="AP23" i="13"/>
  <c r="AP31" i="13"/>
  <c r="P12" i="13"/>
  <c r="P20" i="13"/>
  <c r="P28" i="13"/>
  <c r="P61" i="13"/>
  <c r="AQ14" i="13"/>
  <c r="AQ22" i="13"/>
  <c r="AQ30" i="13"/>
  <c r="AV28" i="13" l="1"/>
  <c r="AW33" i="13"/>
  <c r="AT33" i="13"/>
  <c r="AV33" i="13"/>
  <c r="AW9" i="13"/>
  <c r="AT9" i="13"/>
  <c r="AT14" i="13"/>
  <c r="AV31" i="13"/>
  <c r="AS31" i="13"/>
  <c r="AT12" i="13"/>
  <c r="AV8" i="13"/>
  <c r="AS8" i="13"/>
  <c r="AS7" i="13"/>
  <c r="AS20" i="13"/>
  <c r="AW25" i="13"/>
  <c r="AT25" i="13"/>
  <c r="AV24" i="13"/>
  <c r="AS24" i="13"/>
  <c r="AV25" i="13"/>
  <c r="AS25" i="13"/>
  <c r="AV15" i="13"/>
  <c r="AT30" i="13"/>
  <c r="AS61" i="13"/>
  <c r="AT17" i="13"/>
  <c r="AS22" i="13"/>
  <c r="O24" i="13"/>
  <c r="O11" i="9"/>
  <c r="O16" i="13"/>
  <c r="N11" i="9"/>
  <c r="O33" i="13"/>
  <c r="P12" i="9"/>
  <c r="AJ22" i="13"/>
  <c r="R22" i="13" s="1"/>
  <c r="O9" i="9"/>
  <c r="O25" i="13"/>
  <c r="O12" i="9"/>
  <c r="P17" i="13"/>
  <c r="S12" i="9"/>
  <c r="P33" i="13"/>
  <c r="U12" i="9"/>
  <c r="AJ30" i="13"/>
  <c r="R30" i="13" s="1"/>
  <c r="P9" i="9"/>
  <c r="AP28" i="13"/>
  <c r="R16" i="13"/>
  <c r="I24" i="13"/>
  <c r="J33" i="13"/>
  <c r="AZ8" i="13"/>
  <c r="BC8" i="13" s="1"/>
  <c r="AS28" i="13"/>
  <c r="J17" i="13"/>
  <c r="AZ17" i="13" s="1"/>
  <c r="BC17" i="13" s="1"/>
  <c r="R8" i="13"/>
  <c r="AY14" i="13"/>
  <c r="BB14" i="13" s="1"/>
  <c r="AJ33" i="13"/>
  <c r="R33" i="13" s="1"/>
  <c r="O30" i="13"/>
  <c r="AY9" i="13"/>
  <c r="BB9" i="13" s="1"/>
  <c r="R15" i="13"/>
  <c r="AZ12" i="13"/>
  <c r="BC12" i="13" s="1"/>
  <c r="J25" i="13"/>
  <c r="R28" i="13"/>
  <c r="AP15" i="13"/>
  <c r="AY30" i="13"/>
  <c r="BB30" i="13" s="1"/>
  <c r="AZ30" i="13"/>
  <c r="BC30" i="13" s="1"/>
  <c r="AZ61" i="13"/>
  <c r="BC61" i="13" s="1"/>
  <c r="AP33" i="13"/>
  <c r="AK25" i="13"/>
  <c r="S25" i="13" s="1"/>
  <c r="P25" i="13"/>
  <c r="AZ32" i="13"/>
  <c r="BC32" i="13" s="1"/>
  <c r="AZ20" i="13"/>
  <c r="BC20" i="13" s="1"/>
  <c r="AY21" i="13"/>
  <c r="BB21" i="13" s="1"/>
  <c r="AT29" i="13"/>
  <c r="AZ29" i="13"/>
  <c r="BC29" i="13" s="1"/>
  <c r="AT28" i="13"/>
  <c r="AZ28" i="13"/>
  <c r="BC28" i="13" s="1"/>
  <c r="AY29" i="13"/>
  <c r="BB29" i="13" s="1"/>
  <c r="AT22" i="13"/>
  <c r="AZ22" i="13"/>
  <c r="BC22" i="13" s="1"/>
  <c r="AS23" i="13"/>
  <c r="AY23" i="13"/>
  <c r="BB23" i="13" s="1"/>
  <c r="AT21" i="13"/>
  <c r="AZ21" i="13"/>
  <c r="BC21" i="13" s="1"/>
  <c r="AY20" i="13"/>
  <c r="BB20" i="13" s="1"/>
  <c r="AZ24" i="13"/>
  <c r="BC24" i="13" s="1"/>
  <c r="AS17" i="13"/>
  <c r="AY17" i="13"/>
  <c r="BB17" i="13" s="1"/>
  <c r="AY13" i="13"/>
  <c r="BB13" i="13" s="1"/>
  <c r="AZ14" i="13"/>
  <c r="BC14" i="13" s="1"/>
  <c r="S6" i="13"/>
  <c r="AQ6" i="13"/>
  <c r="AY7" i="13"/>
  <c r="BB7" i="13" s="1"/>
  <c r="AP8" i="13"/>
  <c r="I8" i="13"/>
  <c r="AV5" i="13"/>
  <c r="AJ5" i="13"/>
  <c r="R5" i="13" s="1"/>
  <c r="O5" i="13"/>
  <c r="AT31" i="13"/>
  <c r="AZ31" i="13"/>
  <c r="BC31" i="13" s="1"/>
  <c r="AY16" i="13"/>
  <c r="BB16" i="13" s="1"/>
  <c r="AS16" i="13"/>
  <c r="AY31" i="13"/>
  <c r="BB31" i="13" s="1"/>
  <c r="AT23" i="13"/>
  <c r="AZ23" i="13"/>
  <c r="BC23" i="13" s="1"/>
  <c r="AY12" i="13"/>
  <c r="BB12" i="13" s="1"/>
  <c r="AT15" i="13"/>
  <c r="AZ15" i="13"/>
  <c r="BC15" i="13" s="1"/>
  <c r="AZ5" i="13"/>
  <c r="BC5" i="13" s="1"/>
  <c r="AT7" i="13"/>
  <c r="AZ7" i="13"/>
  <c r="BC7" i="13" s="1"/>
  <c r="AZ16" i="13"/>
  <c r="BC16" i="13" s="1"/>
  <c r="AY32" i="13"/>
  <c r="BB32" i="13" s="1"/>
  <c r="AS32" i="13"/>
  <c r="AY6" i="13"/>
  <c r="BB6" i="13" s="1"/>
  <c r="AZ9" i="13"/>
  <c r="BC9" i="13" s="1"/>
  <c r="AZ13" i="13"/>
  <c r="BC13" i="13" s="1"/>
  <c r="AY24" i="13" l="1"/>
  <c r="BB24" i="13" s="1"/>
  <c r="AS15" i="13"/>
  <c r="AY61" i="13"/>
  <c r="BB61" i="13" s="1"/>
  <c r="AZ33" i="13"/>
  <c r="BC33" i="13" s="1"/>
  <c r="AS30" i="13"/>
  <c r="AY5" i="13"/>
  <c r="BB5" i="13" s="1"/>
  <c r="AY25" i="13"/>
  <c r="BB25" i="13" s="1"/>
  <c r="AZ25" i="13"/>
  <c r="BC25" i="13" s="1"/>
  <c r="AY28" i="13"/>
  <c r="BB28" i="13" s="1"/>
  <c r="AY15" i="13"/>
  <c r="BB15" i="13" s="1"/>
  <c r="AY22" i="13"/>
  <c r="BB22" i="13" s="1"/>
  <c r="AS33" i="13"/>
  <c r="AY33" i="13"/>
  <c r="BB33" i="13" s="1"/>
  <c r="AY8" i="13"/>
  <c r="BB8" i="13" s="1"/>
  <c r="AT6" i="13"/>
  <c r="AZ6" i="13"/>
  <c r="BC6" i="13" s="1"/>
  <c r="H20" i="9" l="1"/>
  <c r="I18" i="9" l="1"/>
  <c r="I25" i="9"/>
  <c r="Z12" i="9"/>
  <c r="W9" i="9"/>
  <c r="AD11" i="9"/>
  <c r="AB9" i="9"/>
  <c r="AB17" i="9" s="1"/>
  <c r="W7" i="9"/>
  <c r="AB11" i="9"/>
  <c r="C15" i="9"/>
  <c r="AE7" i="9"/>
  <c r="X10" i="9"/>
  <c r="AE8" i="9"/>
  <c r="AC9" i="9"/>
  <c r="AC10" i="9"/>
  <c r="AD8" i="9"/>
  <c r="Y7" i="9"/>
  <c r="AD10" i="9"/>
  <c r="AE10" i="9"/>
  <c r="AC7" i="9"/>
  <c r="AE11" i="9"/>
  <c r="W10" i="9"/>
  <c r="Z10" i="9"/>
  <c r="X9" i="9"/>
  <c r="AB8" i="9"/>
  <c r="AB10" i="9"/>
  <c r="Z7" i="9"/>
  <c r="Z8" i="9"/>
  <c r="AC12" i="9"/>
  <c r="AE9" i="9"/>
  <c r="Y8" i="9"/>
  <c r="AE12" i="9"/>
  <c r="Z11" i="9"/>
  <c r="Y10" i="9"/>
  <c r="AD7" i="9"/>
  <c r="Y12" i="9"/>
  <c r="W11" i="9"/>
  <c r="W8" i="9"/>
  <c r="X11" i="9"/>
  <c r="AD12" i="9"/>
  <c r="Y11" i="9"/>
  <c r="X12" i="9"/>
  <c r="AC11" i="9"/>
  <c r="Y9" i="9"/>
  <c r="AD9" i="9"/>
  <c r="Z9" i="9"/>
  <c r="AC8" i="9"/>
  <c r="X7" i="9"/>
  <c r="AB7" i="9"/>
  <c r="H15" i="9"/>
  <c r="X8" i="9"/>
  <c r="M23" i="9" l="1"/>
  <c r="W44" i="9"/>
  <c r="M44" i="9"/>
  <c r="W20" i="9" l="1"/>
  <c r="W52" i="9" s="1"/>
  <c r="AB20" i="9"/>
  <c r="W28" i="9"/>
  <c r="AB28" i="9"/>
  <c r="W36" i="9"/>
  <c r="AB36" i="9"/>
  <c r="AG52" i="9" l="1"/>
  <c r="J49" i="9" l="1"/>
  <c r="AN49" i="9" s="1"/>
  <c r="I49" i="9"/>
  <c r="AM49" i="9" s="1"/>
  <c r="H49" i="9"/>
  <c r="AL49" i="9" s="1"/>
  <c r="E49" i="9"/>
  <c r="AI49" i="9" s="1"/>
  <c r="D49" i="9"/>
  <c r="AH49" i="9" s="1"/>
  <c r="C49" i="9"/>
  <c r="AG49" i="9" s="1"/>
  <c r="J48" i="9"/>
  <c r="AN48" i="9" s="1"/>
  <c r="I48" i="9"/>
  <c r="AM48" i="9" s="1"/>
  <c r="H48" i="9"/>
  <c r="AL48" i="9" s="1"/>
  <c r="E48" i="9"/>
  <c r="AI48" i="9" s="1"/>
  <c r="D48" i="9"/>
  <c r="AH48" i="9" s="1"/>
  <c r="C48" i="9"/>
  <c r="AG48" i="9" s="1"/>
  <c r="J47" i="9"/>
  <c r="AN47" i="9" s="1"/>
  <c r="I47" i="9"/>
  <c r="AM47" i="9" s="1"/>
  <c r="H47" i="9"/>
  <c r="AL47" i="9" s="1"/>
  <c r="E47" i="9"/>
  <c r="AI47" i="9" s="1"/>
  <c r="D47" i="9"/>
  <c r="AH47" i="9" s="1"/>
  <c r="C47" i="9"/>
  <c r="AG47" i="9" s="1"/>
  <c r="C44" i="9"/>
  <c r="J41" i="9"/>
  <c r="AN41" i="9" s="1"/>
  <c r="I41" i="9"/>
  <c r="AM41" i="9" s="1"/>
  <c r="H41" i="9"/>
  <c r="AL41" i="9" s="1"/>
  <c r="E41" i="9"/>
  <c r="AI41" i="9" s="1"/>
  <c r="D41" i="9"/>
  <c r="AH41" i="9" s="1"/>
  <c r="C41" i="9"/>
  <c r="AG41" i="9" s="1"/>
  <c r="J40" i="9"/>
  <c r="AN40" i="9" s="1"/>
  <c r="I40" i="9"/>
  <c r="AM40" i="9" s="1"/>
  <c r="H40" i="9"/>
  <c r="AL40" i="9" s="1"/>
  <c r="E40" i="9"/>
  <c r="AI40" i="9" s="1"/>
  <c r="D40" i="9"/>
  <c r="AH40" i="9" s="1"/>
  <c r="C40" i="9"/>
  <c r="AG40" i="9" s="1"/>
  <c r="J39" i="9"/>
  <c r="AN39" i="9" s="1"/>
  <c r="I39" i="9"/>
  <c r="AM39" i="9" s="1"/>
  <c r="H39" i="9"/>
  <c r="AL39" i="9" s="1"/>
  <c r="E39" i="9"/>
  <c r="AI39" i="9" s="1"/>
  <c r="D39" i="9"/>
  <c r="AH39" i="9" s="1"/>
  <c r="C39" i="9"/>
  <c r="AG39" i="9" s="1"/>
  <c r="R36" i="9"/>
  <c r="M36" i="9"/>
  <c r="K36" i="9"/>
  <c r="J36" i="9"/>
  <c r="I36" i="9"/>
  <c r="H36" i="9"/>
  <c r="F36" i="9"/>
  <c r="E36" i="9"/>
  <c r="D36" i="9"/>
  <c r="C36" i="9"/>
  <c r="K35" i="9"/>
  <c r="J35" i="9"/>
  <c r="I35" i="9"/>
  <c r="H35" i="9"/>
  <c r="F35" i="9"/>
  <c r="E35" i="9"/>
  <c r="D35" i="9"/>
  <c r="C35" i="9"/>
  <c r="K34" i="9"/>
  <c r="J34" i="9"/>
  <c r="I34" i="9"/>
  <c r="H34" i="9"/>
  <c r="F34" i="9"/>
  <c r="E34" i="9"/>
  <c r="D34" i="9"/>
  <c r="C34" i="9"/>
  <c r="K33" i="9"/>
  <c r="J33" i="9"/>
  <c r="I33" i="9"/>
  <c r="H33" i="9"/>
  <c r="F33" i="9"/>
  <c r="E33" i="9"/>
  <c r="D33" i="9"/>
  <c r="C33" i="9"/>
  <c r="K32" i="9"/>
  <c r="J32" i="9"/>
  <c r="I32" i="9"/>
  <c r="H32" i="9"/>
  <c r="F32" i="9"/>
  <c r="E32" i="9"/>
  <c r="D32" i="9"/>
  <c r="C32" i="9"/>
  <c r="K31" i="9"/>
  <c r="J31" i="9"/>
  <c r="I31" i="9"/>
  <c r="H31" i="9"/>
  <c r="F31" i="9"/>
  <c r="E31" i="9"/>
  <c r="D31" i="9"/>
  <c r="C31" i="9"/>
  <c r="R28" i="9"/>
  <c r="M28" i="9"/>
  <c r="K28" i="9"/>
  <c r="J28" i="9"/>
  <c r="I28" i="9"/>
  <c r="H28" i="9"/>
  <c r="F28" i="9"/>
  <c r="E28" i="9"/>
  <c r="D28" i="9"/>
  <c r="C28" i="9"/>
  <c r="K27" i="9"/>
  <c r="J27" i="9"/>
  <c r="I27" i="9"/>
  <c r="H27" i="9"/>
  <c r="F27" i="9"/>
  <c r="E27" i="9"/>
  <c r="D27" i="9"/>
  <c r="C27" i="9"/>
  <c r="K26" i="9"/>
  <c r="J26" i="9"/>
  <c r="I26" i="9"/>
  <c r="H26" i="9"/>
  <c r="F26" i="9"/>
  <c r="E26" i="9"/>
  <c r="D26" i="9"/>
  <c r="C26" i="9"/>
  <c r="K25" i="9"/>
  <c r="J25" i="9"/>
  <c r="H25" i="9"/>
  <c r="F25" i="9"/>
  <c r="E25" i="9"/>
  <c r="D25" i="9"/>
  <c r="C25" i="9"/>
  <c r="K24" i="9"/>
  <c r="J24" i="9"/>
  <c r="I24" i="9"/>
  <c r="H24" i="9"/>
  <c r="F24" i="9"/>
  <c r="E24" i="9"/>
  <c r="D24" i="9"/>
  <c r="C24" i="9"/>
  <c r="K23" i="9"/>
  <c r="J23" i="9"/>
  <c r="I23" i="9"/>
  <c r="H23" i="9"/>
  <c r="F23" i="9"/>
  <c r="E23" i="9"/>
  <c r="D23" i="9"/>
  <c r="C23" i="9"/>
  <c r="R20" i="9"/>
  <c r="M20" i="9"/>
  <c r="M52" i="9" s="1"/>
  <c r="K20" i="9"/>
  <c r="J20" i="9"/>
  <c r="I20" i="9"/>
  <c r="F20" i="9"/>
  <c r="E20" i="9"/>
  <c r="D20" i="9"/>
  <c r="C20" i="9"/>
  <c r="C52" i="9" s="1"/>
  <c r="K19" i="9"/>
  <c r="J19" i="9"/>
  <c r="I19" i="9"/>
  <c r="H19" i="9"/>
  <c r="F19" i="9"/>
  <c r="E19" i="9"/>
  <c r="D19" i="9"/>
  <c r="C19" i="9"/>
  <c r="K18" i="9"/>
  <c r="J18" i="9"/>
  <c r="H18" i="9"/>
  <c r="F18" i="9"/>
  <c r="E18" i="9"/>
  <c r="D18" i="9"/>
  <c r="C18" i="9"/>
  <c r="K17" i="9"/>
  <c r="J17" i="9"/>
  <c r="I17" i="9"/>
  <c r="H17" i="9"/>
  <c r="F17" i="9"/>
  <c r="E17" i="9"/>
  <c r="D17" i="9"/>
  <c r="C17" i="9"/>
  <c r="K16" i="9"/>
  <c r="J16" i="9"/>
  <c r="I16" i="9"/>
  <c r="H16" i="9"/>
  <c r="F16" i="9"/>
  <c r="E16" i="9"/>
  <c r="D16" i="9"/>
  <c r="C16" i="9"/>
  <c r="K15" i="9"/>
  <c r="J15" i="9"/>
  <c r="I15" i="9"/>
  <c r="F15" i="9"/>
  <c r="E15" i="9"/>
  <c r="D15" i="9"/>
  <c r="AY8" i="9"/>
  <c r="AW8" i="9"/>
  <c r="AR8" i="9"/>
  <c r="BA8" i="9" s="1"/>
  <c r="AY7" i="9"/>
  <c r="AW7" i="9"/>
  <c r="B3" i="9"/>
  <c r="B5" i="9" s="1"/>
  <c r="AT8" i="9" l="1"/>
  <c r="AV8" i="9" s="1"/>
  <c r="AU8" i="9" s="1"/>
  <c r="AS8" i="9" l="1"/>
  <c r="AX8" i="9"/>
  <c r="AZ8" i="9" s="1"/>
  <c r="BB8" i="9" s="1"/>
  <c r="AE15" i="9" l="1"/>
  <c r="AE23" i="9"/>
  <c r="AE31" i="9"/>
  <c r="U23" i="9"/>
  <c r="U31" i="9"/>
  <c r="U15" i="9"/>
  <c r="W15" i="9"/>
  <c r="AE17" i="9" l="1"/>
  <c r="AE25" i="9"/>
  <c r="AE33" i="9"/>
  <c r="Y15" i="9"/>
  <c r="Y23" i="9"/>
  <c r="Y31" i="9"/>
  <c r="Y39" i="9"/>
  <c r="Y47" i="9"/>
  <c r="AD19" i="9"/>
  <c r="AD35" i="9"/>
  <c r="AD27" i="9"/>
  <c r="Z36" i="9"/>
  <c r="Z20" i="9"/>
  <c r="Z28" i="9"/>
  <c r="AB49" i="9"/>
  <c r="AB33" i="9"/>
  <c r="AB41" i="9"/>
  <c r="AB25" i="9"/>
  <c r="W49" i="9"/>
  <c r="W17" i="9"/>
  <c r="W25" i="9"/>
  <c r="W33" i="9"/>
  <c r="W41" i="9"/>
  <c r="AC20" i="9"/>
  <c r="AC28" i="9"/>
  <c r="AC36" i="9"/>
  <c r="X18" i="9"/>
  <c r="X26" i="9"/>
  <c r="X34" i="9"/>
  <c r="AE19" i="9"/>
  <c r="AE27" i="9"/>
  <c r="AE35" i="9"/>
  <c r="AD16" i="9"/>
  <c r="AD40" i="9"/>
  <c r="AD32" i="9"/>
  <c r="AD24" i="9"/>
  <c r="AD48" i="9"/>
  <c r="Y20" i="9"/>
  <c r="Y28" i="9"/>
  <c r="Y36" i="9"/>
  <c r="AE16" i="9"/>
  <c r="AE24" i="9"/>
  <c r="AE32" i="9"/>
  <c r="AD17" i="9"/>
  <c r="AD25" i="9"/>
  <c r="AD41" i="9"/>
  <c r="AD33" i="9"/>
  <c r="AD49" i="9"/>
  <c r="W18" i="9"/>
  <c r="W26" i="9"/>
  <c r="W34" i="9"/>
  <c r="W23" i="9"/>
  <c r="W31" i="9"/>
  <c r="W39" i="9"/>
  <c r="W47" i="9"/>
  <c r="Y16" i="9"/>
  <c r="Y24" i="9"/>
  <c r="Y32" i="9"/>
  <c r="Y40" i="9"/>
  <c r="Y48" i="9"/>
  <c r="X16" i="9"/>
  <c r="X24" i="9"/>
  <c r="X32" i="9"/>
  <c r="X40" i="9"/>
  <c r="X48" i="9"/>
  <c r="Z15" i="9"/>
  <c r="Z23" i="9"/>
  <c r="Z31" i="9"/>
  <c r="AB19" i="9"/>
  <c r="AB27" i="9"/>
  <c r="AB35" i="9"/>
  <c r="Z25" i="9"/>
  <c r="Z33" i="9"/>
  <c r="Z17" i="9"/>
  <c r="AB16" i="9"/>
  <c r="AB24" i="9"/>
  <c r="AB32" i="9"/>
  <c r="AB40" i="9"/>
  <c r="AB48" i="9"/>
  <c r="AD18" i="9"/>
  <c r="AD26" i="9"/>
  <c r="AD34" i="9"/>
  <c r="X31" i="9"/>
  <c r="X47" i="9"/>
  <c r="X15" i="9"/>
  <c r="X23" i="9"/>
  <c r="X39" i="9"/>
  <c r="W19" i="9"/>
  <c r="W27" i="9"/>
  <c r="W35" i="9"/>
  <c r="Z19" i="9"/>
  <c r="Z27" i="9"/>
  <c r="Z35" i="9"/>
  <c r="Z18" i="9"/>
  <c r="Z26" i="9"/>
  <c r="Z34" i="9"/>
  <c r="X20" i="9"/>
  <c r="X28" i="9"/>
  <c r="X36" i="9"/>
  <c r="AE20" i="9"/>
  <c r="AE28" i="9"/>
  <c r="AE36" i="9"/>
  <c r="AD20" i="9"/>
  <c r="AD36" i="9"/>
  <c r="AD28" i="9"/>
  <c r="AC18" i="9"/>
  <c r="AC26" i="9"/>
  <c r="AC34" i="9"/>
  <c r="Y17" i="9"/>
  <c r="Y25" i="9"/>
  <c r="Y33" i="9"/>
  <c r="Y41" i="9"/>
  <c r="Y49" i="9"/>
  <c r="Y19" i="9"/>
  <c r="Y27" i="9"/>
  <c r="Y35" i="9"/>
  <c r="Z16" i="9"/>
  <c r="Z24" i="9"/>
  <c r="Z32" i="9"/>
  <c r="AC15" i="9"/>
  <c r="AC23" i="9"/>
  <c r="AC31" i="9"/>
  <c r="AC39" i="9"/>
  <c r="AC47" i="9"/>
  <c r="AE26" i="9"/>
  <c r="AE34" i="9"/>
  <c r="AE18" i="9"/>
  <c r="AC19" i="9"/>
  <c r="AC27" i="9"/>
  <c r="AC35" i="9"/>
  <c r="AC40" i="9"/>
  <c r="AC16" i="9"/>
  <c r="AC24" i="9"/>
  <c r="AC32" i="9"/>
  <c r="AC48" i="9"/>
  <c r="AB18" i="9"/>
  <c r="AB26" i="9"/>
  <c r="AB34" i="9"/>
  <c r="X17" i="9"/>
  <c r="X25" i="9"/>
  <c r="X33" i="9"/>
  <c r="X41" i="9"/>
  <c r="X49" i="9"/>
  <c r="AB15" i="9"/>
  <c r="AB23" i="9"/>
  <c r="AB31" i="9"/>
  <c r="AB39" i="9"/>
  <c r="AB47" i="9"/>
  <c r="W16" i="9"/>
  <c r="W32" i="9"/>
  <c r="W40" i="9"/>
  <c r="W24" i="9"/>
  <c r="W48" i="9"/>
  <c r="X19" i="9"/>
  <c r="X27" i="9"/>
  <c r="X35" i="9"/>
  <c r="AD15" i="9"/>
  <c r="AD23" i="9"/>
  <c r="AD31" i="9"/>
  <c r="AD39" i="9"/>
  <c r="AD47" i="9"/>
  <c r="Y18" i="9"/>
  <c r="Y34" i="9"/>
  <c r="Y26" i="9"/>
  <c r="AC17" i="9"/>
  <c r="AC25" i="9"/>
  <c r="AC33" i="9"/>
  <c r="AC41" i="9"/>
  <c r="AC49" i="9"/>
  <c r="T27" i="9"/>
  <c r="T35" i="9"/>
  <c r="T19" i="9"/>
  <c r="M31" i="9"/>
  <c r="M39" i="9"/>
  <c r="M47" i="9"/>
  <c r="M15" i="9"/>
  <c r="N31" i="9"/>
  <c r="N39" i="9"/>
  <c r="N23" i="9"/>
  <c r="N47" i="9"/>
  <c r="AR7" i="9"/>
  <c r="N15" i="9"/>
  <c r="U26" i="9"/>
  <c r="U34" i="9"/>
  <c r="U18" i="9"/>
  <c r="P28" i="9"/>
  <c r="P36" i="9"/>
  <c r="P20" i="9"/>
  <c r="M49" i="9"/>
  <c r="M41" i="9"/>
  <c r="M17" i="9"/>
  <c r="M33" i="9"/>
  <c r="M25" i="9"/>
  <c r="U24" i="9"/>
  <c r="U32" i="9"/>
  <c r="U16" i="9"/>
  <c r="P23" i="9"/>
  <c r="P31" i="9"/>
  <c r="P15" i="9"/>
  <c r="R32" i="9"/>
  <c r="R40" i="9"/>
  <c r="R24" i="9"/>
  <c r="R48" i="9"/>
  <c r="R16" i="9"/>
  <c r="S26" i="9"/>
  <c r="S18" i="9"/>
  <c r="S34" i="9"/>
  <c r="P24" i="9"/>
  <c r="P32" i="9"/>
  <c r="P16" i="9"/>
  <c r="N24" i="9"/>
  <c r="N32" i="9"/>
  <c r="N16" i="9"/>
  <c r="N40" i="9"/>
  <c r="N48" i="9"/>
  <c r="S28" i="9"/>
  <c r="S36" i="9"/>
  <c r="S20" i="9"/>
  <c r="O28" i="9"/>
  <c r="O36" i="9"/>
  <c r="O20" i="9"/>
  <c r="T25" i="9"/>
  <c r="T33" i="9"/>
  <c r="T49" i="9"/>
  <c r="T17" i="9"/>
  <c r="T41" i="9"/>
  <c r="R35" i="9"/>
  <c r="R27" i="9"/>
  <c r="R19" i="9"/>
  <c r="T26" i="9"/>
  <c r="T34" i="9"/>
  <c r="T18" i="9"/>
  <c r="S24" i="9"/>
  <c r="S32" i="9"/>
  <c r="S40" i="9"/>
  <c r="S16" i="9"/>
  <c r="S48" i="9"/>
  <c r="T36" i="9"/>
  <c r="T28" i="9"/>
  <c r="T20" i="9"/>
  <c r="O27" i="9"/>
  <c r="O19" i="9"/>
  <c r="O35" i="9"/>
  <c r="N25" i="9"/>
  <c r="N33" i="9"/>
  <c r="N41" i="9"/>
  <c r="N49" i="9"/>
  <c r="N17" i="9"/>
  <c r="N27" i="9"/>
  <c r="N35" i="9"/>
  <c r="N19" i="9"/>
  <c r="O26" i="9"/>
  <c r="O34" i="9"/>
  <c r="O18" i="9"/>
  <c r="S25" i="9"/>
  <c r="S17" i="9"/>
  <c r="S33" i="9"/>
  <c r="S49" i="9"/>
  <c r="P26" i="9"/>
  <c r="P18" i="9"/>
  <c r="P34" i="9"/>
  <c r="R25" i="9"/>
  <c r="R33" i="9"/>
  <c r="R17" i="9"/>
  <c r="R41" i="9"/>
  <c r="R49" i="9"/>
  <c r="S27" i="9"/>
  <c r="S35" i="9"/>
  <c r="S19" i="9"/>
  <c r="M26" i="9"/>
  <c r="M34" i="9"/>
  <c r="M18" i="9"/>
  <c r="N28" i="9"/>
  <c r="N36" i="9"/>
  <c r="N20" i="9"/>
  <c r="P25" i="9"/>
  <c r="P33" i="9"/>
  <c r="P17" i="9"/>
  <c r="R34" i="9"/>
  <c r="R26" i="9"/>
  <c r="R18" i="9"/>
  <c r="U28" i="9"/>
  <c r="U36" i="9"/>
  <c r="U20" i="9"/>
  <c r="O33" i="9"/>
  <c r="O41" i="9"/>
  <c r="O49" i="9"/>
  <c r="O25" i="9"/>
  <c r="O17" i="9"/>
  <c r="N26" i="9"/>
  <c r="N34" i="9"/>
  <c r="N18" i="9"/>
  <c r="R23" i="9"/>
  <c r="R31" i="9"/>
  <c r="R39" i="9"/>
  <c r="R47" i="9"/>
  <c r="R15" i="9"/>
  <c r="M32" i="9"/>
  <c r="M40" i="9"/>
  <c r="M48" i="9"/>
  <c r="M16" i="9"/>
  <c r="M24" i="9"/>
  <c r="T23" i="9"/>
  <c r="T15" i="9"/>
  <c r="T31" i="9"/>
  <c r="T39" i="9"/>
  <c r="T47" i="9"/>
  <c r="T32" i="9"/>
  <c r="T40" i="9"/>
  <c r="T48" i="9"/>
  <c r="T24" i="9"/>
  <c r="T16" i="9"/>
  <c r="U25" i="9"/>
  <c r="U33" i="9"/>
  <c r="U17" i="9"/>
  <c r="M27" i="9"/>
  <c r="M35" i="9"/>
  <c r="M19" i="9"/>
  <c r="S23" i="9"/>
  <c r="S31" i="9"/>
  <c r="S39" i="9"/>
  <c r="S15" i="9"/>
  <c r="S47" i="9"/>
  <c r="U27" i="9"/>
  <c r="U35" i="9"/>
  <c r="U19" i="9"/>
  <c r="O24" i="9"/>
  <c r="O32" i="9"/>
  <c r="O40" i="9"/>
  <c r="O16" i="9"/>
  <c r="O48" i="9"/>
  <c r="O47" i="9"/>
  <c r="O15" i="9"/>
  <c r="O39" i="9"/>
  <c r="O31" i="9"/>
  <c r="O23" i="9"/>
  <c r="P27" i="9"/>
  <c r="P35" i="9"/>
  <c r="P19" i="9"/>
  <c r="BA7" i="9" l="1"/>
  <c r="AT7" i="9"/>
  <c r="AV7" i="9" l="1"/>
  <c r="AS7" i="9"/>
  <c r="AU7" i="9" l="1"/>
  <c r="AX7" i="9"/>
  <c r="AZ7" i="9" s="1"/>
  <c r="BB7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 Alcock</author>
  </authors>
  <commentList>
    <comment ref="A60" authorId="0" shapeId="0" xr:uid="{CA86BC43-698D-4065-953B-D9E70BA62B97}">
      <text>
        <r>
          <rPr>
            <b/>
            <sz val="9"/>
            <color indexed="81"/>
            <rFont val="Tahoma"/>
            <family val="2"/>
          </rPr>
          <t>Steve Alcock:</t>
        </r>
        <r>
          <rPr>
            <sz val="9"/>
            <color indexed="81"/>
            <rFont val="Tahoma"/>
            <family val="2"/>
          </rPr>
          <t xml:space="preserve">
DA says "90+ years…" Checked Mar23 declaration &amp; 90 year old pax are calculating at loading of 6.54 (Age Band 5). Have amended R&amp;RN's to show "91+ years…".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 Alcock</author>
  </authors>
  <commentList>
    <comment ref="D1" authorId="0" shapeId="0" xr:uid="{FB4FCA23-3408-414B-97F9-52EC69871BC6}">
      <text>
        <r>
          <rPr>
            <b/>
            <sz val="9"/>
            <color indexed="81"/>
            <rFont val="Tahoma"/>
            <family val="2"/>
          </rPr>
          <t>Steve Alcock:</t>
        </r>
        <r>
          <rPr>
            <sz val="9"/>
            <color indexed="81"/>
            <rFont val="Tahoma"/>
            <family val="2"/>
          </rPr>
          <t xml:space="preserve">
6% increase agreed by Andrew tolman 25/1/25 during Teams call.</t>
        </r>
      </text>
    </comment>
    <comment ref="A42" authorId="0" shapeId="0" xr:uid="{A19708D8-8DAB-4108-95C6-456043F83774}">
      <text>
        <r>
          <rPr>
            <b/>
            <sz val="9"/>
            <color indexed="81"/>
            <rFont val="Tahoma"/>
            <family val="2"/>
          </rPr>
          <t>Steve Alcock:</t>
        </r>
        <r>
          <rPr>
            <sz val="9"/>
            <color indexed="81"/>
            <rFont val="Tahoma"/>
            <family val="2"/>
          </rPr>
          <t xml:space="preserve">
DA says "90+ years…" Checked Mar23 declaration &amp; 90 year old pax are calculating at loading of 6.54 (Age Band 5). Have amended R&amp;RN's to show "91+ years…".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 Alcock</author>
  </authors>
  <commentList>
    <comment ref="D1" authorId="0" shapeId="0" xr:uid="{CD30F0C6-B5FA-44FA-9972-69D2CDBF44F5}">
      <text>
        <r>
          <rPr>
            <b/>
            <sz val="9"/>
            <color indexed="81"/>
            <rFont val="Tahoma"/>
            <family val="2"/>
          </rPr>
          <t>Steve Alcock:</t>
        </r>
        <r>
          <rPr>
            <sz val="9"/>
            <color indexed="81"/>
            <rFont val="Tahoma"/>
            <family val="2"/>
          </rPr>
          <t xml:space="preserve">
6% increase agreed by Andrew tolman 25/1/25 during Teams call.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 Alcock</author>
  </authors>
  <commentList>
    <comment ref="D1" authorId="0" shapeId="0" xr:uid="{7E07473D-C84A-47A1-B0A3-C50CC594F68E}">
      <text>
        <r>
          <rPr>
            <b/>
            <sz val="9"/>
            <color indexed="81"/>
            <rFont val="Tahoma"/>
            <family val="2"/>
          </rPr>
          <t>Steve Alcock:</t>
        </r>
        <r>
          <rPr>
            <sz val="9"/>
            <color indexed="81"/>
            <rFont val="Tahoma"/>
            <family val="2"/>
          </rPr>
          <t xml:space="preserve">
6% increase agreed by Andrew tolman 25/1/25 during Teams call.</t>
        </r>
      </text>
    </comment>
    <comment ref="A2" authorId="0" shapeId="0" xr:uid="{E248B884-34AC-453B-A152-7F7301B1CD8C}">
      <text>
        <r>
          <rPr>
            <b/>
            <sz val="9"/>
            <color indexed="81"/>
            <rFont val="Tahoma"/>
            <family val="2"/>
          </rPr>
          <t>Steve Alcock:</t>
        </r>
        <r>
          <rPr>
            <sz val="9"/>
            <color indexed="81"/>
            <rFont val="Tahoma"/>
            <family val="2"/>
          </rPr>
          <t xml:space="preserve">
AzP error in AMT rates. Not included 12% increase from Jan 23!
SA fixing NTU rates so, RFP rates from 1/4/25 agree to AzP's rate requirement following 49.5% increase.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 Alcock</author>
  </authors>
  <commentList>
    <comment ref="D1" authorId="0" shapeId="0" xr:uid="{9C819CBB-4D73-4537-A112-5E0B5D3F2F09}">
      <text>
        <r>
          <rPr>
            <b/>
            <sz val="9"/>
            <color indexed="81"/>
            <rFont val="Tahoma"/>
            <family val="2"/>
          </rPr>
          <t>Steve Alcock:</t>
        </r>
        <r>
          <rPr>
            <sz val="9"/>
            <color indexed="81"/>
            <rFont val="Tahoma"/>
            <family val="2"/>
          </rPr>
          <t xml:space="preserve">
6% increase agreed by Andrew tolman 25/1/25 during Teams call.</t>
        </r>
      </text>
    </comment>
    <comment ref="A2" authorId="0" shapeId="0" xr:uid="{4513E44E-1BC1-4CE4-860E-D0197B7DD860}">
      <text>
        <r>
          <rPr>
            <b/>
            <sz val="9"/>
            <color indexed="81"/>
            <rFont val="Tahoma"/>
            <family val="2"/>
          </rPr>
          <t>Steve Alcock:</t>
        </r>
        <r>
          <rPr>
            <sz val="9"/>
            <color indexed="81"/>
            <rFont val="Tahoma"/>
            <family val="2"/>
          </rPr>
          <t xml:space="preserve">
AzP error in AMT rates. Not included 12% increase from Jan 23!
SA fixing NTU rates so, RFP rates from 1/4/25 agree to AzP's rate requirement following 49.5% increase.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 Alcock</author>
  </authors>
  <commentList>
    <comment ref="D1" authorId="0" shapeId="0" xr:uid="{56F34D3B-71D0-42A7-AAC8-1624954DEC79}">
      <text>
        <r>
          <rPr>
            <b/>
            <sz val="9"/>
            <color indexed="81"/>
            <rFont val="Tahoma"/>
            <family val="2"/>
          </rPr>
          <t>Steve Alcock:</t>
        </r>
        <r>
          <rPr>
            <sz val="9"/>
            <color indexed="81"/>
            <rFont val="Tahoma"/>
            <family val="2"/>
          </rPr>
          <t xml:space="preserve">
6% increase agreed by Andrew tolman 25/1/25 during Teams call.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 Alcock</author>
  </authors>
  <commentList>
    <comment ref="D1" authorId="0" shapeId="0" xr:uid="{AE59A0DC-64CB-472F-AE09-D6B8A68A05CD}">
      <text>
        <r>
          <rPr>
            <b/>
            <sz val="9"/>
            <color indexed="81"/>
            <rFont val="Tahoma"/>
            <family val="2"/>
          </rPr>
          <t>Steve Alcock:</t>
        </r>
        <r>
          <rPr>
            <sz val="9"/>
            <color indexed="81"/>
            <rFont val="Tahoma"/>
            <family val="2"/>
          </rPr>
          <t xml:space="preserve">
6% increase agreed by Andrew tolman 25/1/25 during Teams call.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 Alcock</author>
  </authors>
  <commentList>
    <comment ref="D1" authorId="0" shapeId="0" xr:uid="{2FE361BA-FA0C-4404-934C-ACD8F90BAAA1}">
      <text>
        <r>
          <rPr>
            <b/>
            <sz val="9"/>
            <color indexed="81"/>
            <rFont val="Tahoma"/>
            <family val="2"/>
          </rPr>
          <t>Steve Alcock:</t>
        </r>
        <r>
          <rPr>
            <sz val="9"/>
            <color indexed="81"/>
            <rFont val="Tahoma"/>
            <family val="2"/>
          </rPr>
          <t xml:space="preserve">
6% increase agreed by Andrew tolman 25/1/25 during Teams call.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 Alcock</author>
  </authors>
  <commentList>
    <comment ref="A42" authorId="0" shapeId="0" xr:uid="{B284BD44-CD2A-4D99-89E9-7B3B6E64D591}">
      <text>
        <r>
          <rPr>
            <b/>
            <sz val="9"/>
            <color indexed="81"/>
            <rFont val="Tahoma"/>
            <family val="2"/>
          </rPr>
          <t>Steve Alcock:</t>
        </r>
        <r>
          <rPr>
            <sz val="9"/>
            <color indexed="81"/>
            <rFont val="Tahoma"/>
            <family val="2"/>
          </rPr>
          <t xml:space="preserve">
DA says "90+ years…" Checked Mar23 declaration &amp; 90 year old pax are calculating at loading of 6.54 (Age Band 5). Have amended R&amp;RN's to show "91+ years…".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 Alcock</author>
  </authors>
  <commentList>
    <comment ref="A60" authorId="0" shapeId="0" xr:uid="{AAC1E99C-3ED6-4B65-B750-7D144B6BBD75}">
      <text>
        <r>
          <rPr>
            <b/>
            <sz val="9"/>
            <color indexed="81"/>
            <rFont val="Tahoma"/>
            <family val="2"/>
          </rPr>
          <t>Steve Alcock:</t>
        </r>
        <r>
          <rPr>
            <sz val="9"/>
            <color indexed="81"/>
            <rFont val="Tahoma"/>
            <family val="2"/>
          </rPr>
          <t xml:space="preserve">
DA says "90+ years…" Checked Mar23 declaration &amp; 90 year old pax are calculating at loading of 6.54 (Age Band 5). Have amended R&amp;RN's to show "91+ years…".</t>
        </r>
      </text>
    </comment>
    <comment ref="A79" authorId="0" shapeId="0" xr:uid="{482EF08D-B5EE-4FE3-86AE-83F7E737C736}">
      <text>
        <r>
          <rPr>
            <b/>
            <sz val="9"/>
            <color indexed="81"/>
            <rFont val="Tahoma"/>
            <family val="2"/>
          </rPr>
          <t>Steve Alcock:</t>
        </r>
        <r>
          <rPr>
            <sz val="9"/>
            <color indexed="81"/>
            <rFont val="Tahoma"/>
            <family val="2"/>
          </rPr>
          <t xml:space="preserve">
Left prices the same, as per SA Teams call with JR 26/1/26</t>
        </r>
      </text>
    </comment>
    <comment ref="A97" authorId="0" shapeId="0" xr:uid="{9E3CEA36-F2B8-4A81-8D75-8C48BCD6BAA7}">
      <text>
        <r>
          <rPr>
            <b/>
            <sz val="9"/>
            <color indexed="81"/>
            <rFont val="Tahoma"/>
            <family val="2"/>
          </rPr>
          <t>Steve Alcock:</t>
        </r>
        <r>
          <rPr>
            <sz val="9"/>
            <color indexed="81"/>
            <rFont val="Tahoma"/>
            <family val="2"/>
          </rPr>
          <t xml:space="preserve">
Left prices the same as per SA's teams call with JR 26/1/26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 Alcock</author>
  </authors>
  <commentList>
    <comment ref="A42" authorId="0" shapeId="0" xr:uid="{A35CC8C2-FB4A-4A17-8C87-330E4DBB82E4}">
      <text>
        <r>
          <rPr>
            <b/>
            <sz val="9"/>
            <color indexed="81"/>
            <rFont val="Tahoma"/>
            <family val="2"/>
          </rPr>
          <t>Steve Alcock:</t>
        </r>
        <r>
          <rPr>
            <sz val="9"/>
            <color indexed="81"/>
            <rFont val="Tahoma"/>
            <family val="2"/>
          </rPr>
          <t xml:space="preserve">
DA says "90+ years…" Checked Mar23 declaration &amp; 90 year old pax are calculating at loading of 6.54 (Age Band 5). Have amended R&amp;RN's to show "91+ years…".</t>
        </r>
      </text>
    </comment>
    <comment ref="A61" authorId="0" shapeId="0" xr:uid="{7B9B562B-B9EC-45CF-B437-8EF6F24AE9D7}">
      <text>
        <r>
          <rPr>
            <b/>
            <sz val="9"/>
            <color indexed="81"/>
            <rFont val="Tahoma"/>
            <family val="2"/>
          </rPr>
          <t>Steve Alcock:</t>
        </r>
        <r>
          <rPr>
            <sz val="9"/>
            <color indexed="81"/>
            <rFont val="Tahoma"/>
            <family val="2"/>
          </rPr>
          <t xml:space="preserve">
Left prices the same, as per SA Teams call with JR 26/1/26</t>
        </r>
      </text>
    </comment>
    <comment ref="A79" authorId="0" shapeId="0" xr:uid="{9E35A4CF-EDD0-46E4-8104-950341356204}">
      <text>
        <r>
          <rPr>
            <b/>
            <sz val="9"/>
            <color indexed="81"/>
            <rFont val="Tahoma"/>
            <family val="2"/>
          </rPr>
          <t>Steve Alcock:</t>
        </r>
        <r>
          <rPr>
            <sz val="9"/>
            <color indexed="81"/>
            <rFont val="Tahoma"/>
            <family val="2"/>
          </rPr>
          <t xml:space="preserve">
Left prices the same as per SA's teams call with JR 26/1/26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 Alcock</author>
  </authors>
  <commentList>
    <comment ref="D1" authorId="0" shapeId="0" xr:uid="{2F4C9CA5-C8D1-4F97-A4CC-7509DFAF965E}">
      <text>
        <r>
          <rPr>
            <b/>
            <sz val="9"/>
            <color indexed="81"/>
            <rFont val="Tahoma"/>
            <family val="2"/>
          </rPr>
          <t>Steve Alcock:</t>
        </r>
        <r>
          <rPr>
            <sz val="9"/>
            <color indexed="81"/>
            <rFont val="Tahoma"/>
            <family val="2"/>
          </rPr>
          <t xml:space="preserve">
6% increase agreed by Andrew tolman 25/1/25 during Teams call.</t>
        </r>
      </text>
    </comment>
    <comment ref="A42" authorId="0" shapeId="0" xr:uid="{DBDBF2C3-D45C-469F-A027-DF4EA4F38D5F}">
      <text>
        <r>
          <rPr>
            <b/>
            <sz val="9"/>
            <color indexed="81"/>
            <rFont val="Tahoma"/>
            <family val="2"/>
          </rPr>
          <t>Steve Alcock:</t>
        </r>
        <r>
          <rPr>
            <sz val="9"/>
            <color indexed="81"/>
            <rFont val="Tahoma"/>
            <family val="2"/>
          </rPr>
          <t xml:space="preserve">
DA says "90+ years…" Checked Mar23 declaration &amp; 90 year old pax are calculating at loading of 6.54 (Age Band 5). Have amended R&amp;RN's to show "91+ years…".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 Alcock</author>
  </authors>
  <commentList>
    <comment ref="D1" authorId="0" shapeId="0" xr:uid="{F23D02EA-B0AD-44F5-800C-F75DBCE2762A}">
      <text>
        <r>
          <rPr>
            <b/>
            <sz val="9"/>
            <color indexed="81"/>
            <rFont val="Tahoma"/>
            <family val="2"/>
          </rPr>
          <t>Steve Alcock:</t>
        </r>
        <r>
          <rPr>
            <sz val="9"/>
            <color indexed="81"/>
            <rFont val="Tahoma"/>
            <family val="2"/>
          </rPr>
          <t xml:space="preserve">
6% increase agreed by Andrew tolman 25/1/25 during Teams call.</t>
        </r>
      </text>
    </comment>
    <comment ref="A42" authorId="0" shapeId="0" xr:uid="{7D687A02-AAB0-48D0-B687-68707387FA55}">
      <text>
        <r>
          <rPr>
            <b/>
            <sz val="9"/>
            <color indexed="81"/>
            <rFont val="Tahoma"/>
            <family val="2"/>
          </rPr>
          <t>Steve Alcock:</t>
        </r>
        <r>
          <rPr>
            <sz val="9"/>
            <color indexed="81"/>
            <rFont val="Tahoma"/>
            <family val="2"/>
          </rPr>
          <t xml:space="preserve">
DA says "90+ years…" Checked Mar23 declaration &amp; 90 year old pax are calculating at loading of 6.54 (Age Band 5). Have amended R&amp;RN's to show "91+ years…".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 Alcock</author>
  </authors>
  <commentList>
    <comment ref="A42" authorId="0" shapeId="0" xr:uid="{FBE0B55A-BF8C-4FD9-9373-D71E5823CE03}">
      <text>
        <r>
          <rPr>
            <b/>
            <sz val="9"/>
            <color indexed="81"/>
            <rFont val="Tahoma"/>
            <family val="2"/>
          </rPr>
          <t>Steve Alcock:</t>
        </r>
        <r>
          <rPr>
            <sz val="9"/>
            <color indexed="81"/>
            <rFont val="Tahoma"/>
            <family val="2"/>
          </rPr>
          <t xml:space="preserve">
DA says "90+ years…" Checked Mar23 declaration &amp; 90 year old pax are calculating at loading of 6.54 (Age Band 5). Have amended R&amp;RN's to show "91+ years…".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 Alcock</author>
  </authors>
  <commentList>
    <comment ref="D1" authorId="0" shapeId="0" xr:uid="{CF20B54F-0681-4F88-8458-52EE060E833A}">
      <text>
        <r>
          <rPr>
            <b/>
            <sz val="9"/>
            <color indexed="81"/>
            <rFont val="Tahoma"/>
            <family val="2"/>
          </rPr>
          <t>Steve Alcock:</t>
        </r>
        <r>
          <rPr>
            <sz val="9"/>
            <color indexed="81"/>
            <rFont val="Tahoma"/>
            <family val="2"/>
          </rPr>
          <t xml:space="preserve">
6% increase agreed by Andrew tolman 25/1/25 during Teams call.</t>
        </r>
      </text>
    </comment>
    <comment ref="A42" authorId="0" shapeId="0" xr:uid="{EBE44E6C-4175-4561-B721-1923F7FD4689}">
      <text>
        <r>
          <rPr>
            <b/>
            <sz val="9"/>
            <color indexed="81"/>
            <rFont val="Tahoma"/>
            <family val="2"/>
          </rPr>
          <t>Steve Alcock:</t>
        </r>
        <r>
          <rPr>
            <sz val="9"/>
            <color indexed="81"/>
            <rFont val="Tahoma"/>
            <family val="2"/>
          </rPr>
          <t xml:space="preserve">
DA says "90+ years…" Checked Mar23 declaration &amp; 90 year old pax are calculating at loading of 6.54 (Age Band 5). Have amended R&amp;RN's to show "91+ years…".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 Alcock</author>
  </authors>
  <commentList>
    <comment ref="A42" authorId="0" shapeId="0" xr:uid="{503DBA41-4F29-4666-890D-E5B2C00CD16F}">
      <text>
        <r>
          <rPr>
            <b/>
            <sz val="9"/>
            <color indexed="81"/>
            <rFont val="Tahoma"/>
            <family val="2"/>
          </rPr>
          <t>Steve Alcock:</t>
        </r>
        <r>
          <rPr>
            <sz val="9"/>
            <color indexed="81"/>
            <rFont val="Tahoma"/>
            <family val="2"/>
          </rPr>
          <t xml:space="preserve">
DA says "90+ years…" Checked Mar23 declaration &amp; 90 year old pax are calculating at loading of 6.54 (Age Band 5). Have amended R&amp;RN's to show "91+ years…".</t>
        </r>
      </text>
    </comment>
  </commentList>
</comments>
</file>

<file path=xl/sharedStrings.xml><?xml version="1.0" encoding="utf-8"?>
<sst xmlns="http://schemas.openxmlformats.org/spreadsheetml/2006/main" count="6903" uniqueCount="216">
  <si>
    <t>Increase of</t>
  </si>
  <si>
    <t>of 50%</t>
  </si>
  <si>
    <t>Net to Uwtr</t>
  </si>
  <si>
    <t>Net to Rush</t>
  </si>
  <si>
    <t>Rush Original Comm</t>
  </si>
  <si>
    <t>Net to Rush (incl Hays 10%)</t>
  </si>
  <si>
    <t>Rush (Inc Hays 10%) Comm</t>
  </si>
  <si>
    <t>NTR (Incl Hays) Margin</t>
  </si>
  <si>
    <t>Hays NSP (@ MAX 50%)</t>
  </si>
  <si>
    <t>Hays GSP @ MAX 50% Actual Value</t>
  </si>
  <si>
    <t>Hays GSP (Rounded Down)</t>
  </si>
  <si>
    <t>Hays NSP (Rounded Down)</t>
  </si>
  <si>
    <t>Hays GSP Variance (Rounded Down)</t>
  </si>
  <si>
    <t>Hays Rebate (10%)</t>
  </si>
  <si>
    <t>Hays Comm (Inc 10% Rebate)</t>
  </si>
  <si>
    <t>Rush Comm (Proportion of 50% CAP)</t>
  </si>
  <si>
    <t>Hays Comm (Proportion of 50% CAP)</t>
  </si>
  <si>
    <t>Combined MAX Comm</t>
  </si>
  <si>
    <t>Combined Actual Comm £</t>
  </si>
  <si>
    <t>Combined Actual Comm %</t>
  </si>
  <si>
    <t>Silver</t>
  </si>
  <si>
    <t>Gold</t>
  </si>
  <si>
    <t>UK</t>
  </si>
  <si>
    <t>1 to 5 Days</t>
  </si>
  <si>
    <t>6 to 10 Days</t>
  </si>
  <si>
    <t>11 to 17 days</t>
  </si>
  <si>
    <t>18 to 24 days</t>
  </si>
  <si>
    <t>25 to 31 days</t>
  </si>
  <si>
    <t>Europe</t>
  </si>
  <si>
    <t>Each additional week</t>
  </si>
  <si>
    <t>W/W excluding USA/Canada/Caribbean</t>
  </si>
  <si>
    <t xml:space="preserve">1 to 5 Days </t>
  </si>
  <si>
    <t>W/W including USA/Canada/Caribbean</t>
  </si>
  <si>
    <t xml:space="preserve">18 to 24 days </t>
  </si>
  <si>
    <t>Hays Travel Limited and Hays Travel Independence Group –Single Trip – Rating Notes</t>
  </si>
  <si>
    <t xml:space="preserve">19-49 years of age:  </t>
  </si>
  <si>
    <t>Rates as shown (max duration 365 days)</t>
  </si>
  <si>
    <t>50-64 years of age:</t>
  </si>
  <si>
    <r>
      <rPr>
        <b/>
        <sz val="11"/>
        <color theme="1"/>
        <rFont val="Calibri"/>
        <family val="2"/>
        <scheme val="minor"/>
      </rPr>
      <t>x 1.09</t>
    </r>
    <r>
      <rPr>
        <sz val="11"/>
        <color theme="1"/>
        <rFont val="Calibri"/>
        <family val="2"/>
        <scheme val="minor"/>
      </rPr>
      <t xml:space="preserve"> Shown rates (max duration of 183 days)</t>
    </r>
  </si>
  <si>
    <t>65-74 years of age:</t>
  </si>
  <si>
    <r>
      <rPr>
        <b/>
        <sz val="11"/>
        <color theme="1"/>
        <rFont val="Calibri"/>
        <family val="2"/>
        <scheme val="minor"/>
      </rPr>
      <t>x 2.38</t>
    </r>
    <r>
      <rPr>
        <sz val="11"/>
        <color theme="1"/>
        <rFont val="Calibri"/>
        <family val="2"/>
        <scheme val="minor"/>
      </rPr>
      <t xml:space="preserve"> Shown rates (max duration of 75 days)</t>
    </r>
  </si>
  <si>
    <t>75-85 years of age:</t>
  </si>
  <si>
    <r>
      <rPr>
        <b/>
        <sz val="11"/>
        <color theme="1"/>
        <rFont val="Calibri"/>
        <family val="2"/>
        <scheme val="minor"/>
      </rPr>
      <t>x 4.36</t>
    </r>
    <r>
      <rPr>
        <sz val="11"/>
        <color theme="1"/>
        <rFont val="Calibri"/>
        <family val="2"/>
        <scheme val="minor"/>
      </rPr>
      <t xml:space="preserve"> Shown rates (max duration of 65 days)</t>
    </r>
  </si>
  <si>
    <t>86-90 years of age:</t>
  </si>
  <si>
    <r>
      <rPr>
        <b/>
        <sz val="11"/>
        <color theme="1"/>
        <rFont val="Calibri"/>
        <family val="2"/>
        <scheme val="minor"/>
      </rPr>
      <t>x 6.54</t>
    </r>
    <r>
      <rPr>
        <sz val="11"/>
        <color theme="1"/>
        <rFont val="Calibri"/>
        <family val="2"/>
        <scheme val="minor"/>
      </rPr>
      <t xml:space="preserve"> Shown rates (max duration of 17 days - no cover for Worldwide including USA/Canada/Caribbean)</t>
    </r>
  </si>
  <si>
    <t>91+ years of age:</t>
  </si>
  <si>
    <r>
      <rPr>
        <b/>
        <sz val="11"/>
        <color theme="1"/>
        <rFont val="Calibri"/>
        <family val="2"/>
        <scheme val="minor"/>
      </rPr>
      <t xml:space="preserve">x 8.175 </t>
    </r>
    <r>
      <rPr>
        <sz val="11"/>
        <color theme="1"/>
        <rFont val="Calibri"/>
        <family val="2"/>
        <scheme val="minor"/>
      </rPr>
      <t>Shown rates (max duration of 17 days - no cover for Worldwide including USA/Canada/Caribbean)</t>
    </r>
  </si>
  <si>
    <t>Infants under 3 at date of travel:</t>
  </si>
  <si>
    <t>Free of charge when travelling with an Insured Adult</t>
  </si>
  <si>
    <t>Children under 19 years of age at date of travel:</t>
  </si>
  <si>
    <t>x 0.5 Adult premium when travelling ALONE</t>
  </si>
  <si>
    <t>Couples</t>
  </si>
  <si>
    <t>2x Individual rates (based on respective age bands)</t>
  </si>
  <si>
    <t>Single Parent Family Premium</t>
  </si>
  <si>
    <t>x 1.5 Adult Premium (1 or 2 adults plus any number of their dependent children under 19 years of age or under age 21 if in full-time education living in the same household) Age band loading applies.</t>
  </si>
  <si>
    <t>Family Premium:</t>
  </si>
  <si>
    <t xml:space="preserve">x 2 Adult premium (2 adults plus any number of their dependent children </t>
  </si>
  <si>
    <t xml:space="preserve">under 19 years of age or under age 21 if in full-time education living </t>
  </si>
  <si>
    <r>
      <t xml:space="preserve">in the same household). </t>
    </r>
    <r>
      <rPr>
        <b/>
        <sz val="11"/>
        <color rgb="FFFF0000"/>
        <rFont val="Calibri"/>
        <family val="2"/>
        <scheme val="minor"/>
      </rPr>
      <t>Age band loading applies to the youngest adult.</t>
    </r>
  </si>
  <si>
    <t>Grandparent / Grandparents</t>
  </si>
  <si>
    <t>Allowed for Family &amp; Single Parent Family policies</t>
  </si>
  <si>
    <t>Late Bookers Discount @ 15%:</t>
  </si>
  <si>
    <t>Rate x 0.85 (holidays booked within 21 days of departure)</t>
  </si>
  <si>
    <t>Cancellation Top-up: First £5,000 per person covered within basic policy, then £1,000 per person up to a maximum cancellation cover of £20,000.</t>
  </si>
  <si>
    <t>Territorial Limits:</t>
  </si>
  <si>
    <t>Area 1</t>
  </si>
  <si>
    <t>UK, the Channel Islands, the Isle of Man.</t>
  </si>
  <si>
    <t>Area 2</t>
  </si>
  <si>
    <t>The Continent of Europe west of the Ural Mountains (Including Republic of Ireland), Iceland, Madeira, the Canary Islands, the Azores, Lapland and any country or island with a mediterranean coastline (but not Israel Algeria, Syria, Lebanon or Libya).</t>
  </si>
  <si>
    <t>Area 3</t>
  </si>
  <si>
    <t>Worldwide, excluding the United States of America, Canada, the Caribbean Islands and the Bahamas, Cuba and Bermuda but including Mexico.</t>
  </si>
  <si>
    <t>Area 4</t>
  </si>
  <si>
    <t>Worldwide including the United States of America, Canada,the Caribbean Islands and the Bahamas, Cuba and Bermuda.</t>
  </si>
  <si>
    <t>Hazardous Activities:</t>
  </si>
  <si>
    <t>Pack 1</t>
  </si>
  <si>
    <t>Free</t>
  </si>
  <si>
    <t>Pack 2</t>
  </si>
  <si>
    <t>x 2 (i.e. + 100%)</t>
  </si>
  <si>
    <t>Pack 3</t>
  </si>
  <si>
    <t>x 3 (i.e. + 200%)</t>
  </si>
  <si>
    <t>Pack 4</t>
  </si>
  <si>
    <t>x 5.5 (i.e. + 450%)</t>
  </si>
  <si>
    <t>Pre-existing Medical conditions:</t>
  </si>
  <si>
    <t>Additional Premiums may be required subject to medical screening.</t>
  </si>
  <si>
    <t>NB:   UK travel must have at least 2 nights pre-booked accommodation unless a flight or sea crossing is involved.</t>
  </si>
  <si>
    <t>Cruise extension</t>
  </si>
  <si>
    <t>Europe / med cruises (per person)</t>
  </si>
  <si>
    <t>Worldwide (per person)</t>
  </si>
  <si>
    <t>Rates effective from 1 April 2025</t>
  </si>
  <si>
    <t>Rates effective from 21 January 2025</t>
  </si>
  <si>
    <t>Rates effective from 4 January 2024</t>
  </si>
  <si>
    <t>Europe / med cruises (pp)</t>
  </si>
  <si>
    <t>UK, the Channel Islands, the Isle of Man and the Republic of Ireland.</t>
  </si>
  <si>
    <t>The Continent of Europe west of the Ural Mountains, Iceland, Madeira, the Canary Islands, the Azores, Lapland and any country or island with a mediterranean coastline (but not Israel Algeria, Syria, Lebanon or Libya).</t>
  </si>
  <si>
    <t>Start :</t>
  </si>
  <si>
    <t>Hays NSP 01/12/2021 - 30/11/2022</t>
  </si>
  <si>
    <t>End :</t>
  </si>
  <si>
    <t>Example Calculation with Early Bookers Discount</t>
  </si>
  <si>
    <t>Days =</t>
  </si>
  <si>
    <t>Apply your (x) / % Loadings first (in any order)</t>
  </si>
  <si>
    <t>Add your fixed price endorsements after your (x)/% loadings</t>
  </si>
  <si>
    <t>Additional weeks</t>
  </si>
  <si>
    <t>WW Excl USA /Canada /Caribbean</t>
  </si>
  <si>
    <t>WW Incl USA /Canada /Caribbean</t>
  </si>
  <si>
    <t>Base</t>
  </si>
  <si>
    <t>Cost of Adding AP3</t>
  </si>
  <si>
    <t>Base with AP3</t>
  </si>
  <si>
    <t>Cost of adding WS</t>
  </si>
  <si>
    <t>Base with AP3 &amp; WS</t>
  </si>
  <si>
    <t>Cost of Adding Golf Cover</t>
  </si>
  <si>
    <t>Base with AP3, WS &amp; Golf</t>
  </si>
  <si>
    <t>Cost of Adding £1k Cancellation cover</t>
  </si>
  <si>
    <t>Base with AP3, WS, Golf &amp; CC</t>
  </si>
  <si>
    <r>
      <rPr>
        <b/>
        <sz val="11"/>
        <color rgb="FFFF0000"/>
        <rFont val="Calibri"/>
        <family val="2"/>
        <scheme val="minor"/>
      </rPr>
      <t>Discount for Early Booking</t>
    </r>
    <r>
      <rPr>
        <b/>
        <sz val="11"/>
        <color theme="1"/>
        <rFont val="Calibri"/>
        <family val="2"/>
        <scheme val="minor"/>
      </rPr>
      <t xml:space="preserve"> (&lt;21days)</t>
    </r>
  </si>
  <si>
    <t>Final with AP3, WS, Golf &amp; CC and Early Bookers Discount</t>
  </si>
  <si>
    <t>19 - 49</t>
  </si>
  <si>
    <t>NTR :</t>
  </si>
  <si>
    <t>NTU :</t>
  </si>
  <si>
    <t>N/A</t>
  </si>
  <si>
    <t>Age Loading:</t>
  </si>
  <si>
    <t>50 - 64</t>
  </si>
  <si>
    <t>65 - 74</t>
  </si>
  <si>
    <t>75 - 85</t>
  </si>
  <si>
    <t>86 - 90</t>
  </si>
  <si>
    <t>91+</t>
  </si>
  <si>
    <t>Net to Allianz with effect from 21 January 2025</t>
  </si>
  <si>
    <t>Net to Rush (Including Rebate) with effect from 21 January 2025</t>
  </si>
  <si>
    <t>Hays GSP with effect from 21 January 2025</t>
  </si>
  <si>
    <t>Net to AWP</t>
  </si>
  <si>
    <t>Overall Margin</t>
  </si>
  <si>
    <t>EUROPE</t>
  </si>
  <si>
    <t>Worldwide including USA/Canada/Caribbean</t>
  </si>
  <si>
    <t>19 to 54 years</t>
  </si>
  <si>
    <t>Individual</t>
  </si>
  <si>
    <t>Single Parent Family</t>
  </si>
  <si>
    <t>Couple</t>
  </si>
  <si>
    <t>Family</t>
  </si>
  <si>
    <t>55 to 64 years</t>
  </si>
  <si>
    <t>65 to 74 Years</t>
  </si>
  <si>
    <t>Hays Travel Limited and Hays Travel Independence Group –Annual Multi Trip – Rating Notes</t>
  </si>
  <si>
    <t>As per rating table</t>
  </si>
  <si>
    <t>Couples are based on the youngest age band</t>
  </si>
  <si>
    <t>65 to 74 years</t>
  </si>
  <si>
    <t>Maximum age at date of issue:</t>
  </si>
  <si>
    <t>74 years.</t>
  </si>
  <si>
    <t>Single Parent definition:</t>
  </si>
  <si>
    <t>150% Adult premium (1 adult plus any number of their dependent children or grandchildren under 19 years of age or under age 21 if in full-time education living in the same household)</t>
  </si>
  <si>
    <t>Family definition:</t>
  </si>
  <si>
    <t>2 adults plus any number of their dependent children under 19 years of age or under age 21 if in full-time education living in the same household</t>
  </si>
  <si>
    <t>42 Days Max Trip Duration</t>
  </si>
  <si>
    <t>NTR x 1.4 Shown Rates (Max Age 64 years)</t>
  </si>
  <si>
    <t>60 Days Max Trip Duration</t>
  </si>
  <si>
    <t>NTR x 1.6 Shown Rates (Max Age 64 years)</t>
  </si>
  <si>
    <t>90 Days Max Trip Duration</t>
  </si>
  <si>
    <t>NTR x 2 Shown Rates (Max Age 64 years)</t>
  </si>
  <si>
    <t>Per AzP Email 14/2/25</t>
  </si>
  <si>
    <t>European / Mediterranean Cruises</t>
  </si>
  <si>
    <t>Worldwide</t>
  </si>
  <si>
    <t>Hays Travel Price Variance between Silver &amp; Gold - Single Trip</t>
  </si>
  <si>
    <t>Average</t>
  </si>
  <si>
    <t>Hays Travel Policy Endorsements</t>
  </si>
  <si>
    <t>Single Trip</t>
  </si>
  <si>
    <t>Cruise - Europe</t>
  </si>
  <si>
    <t>Cruise - Worldwide</t>
  </si>
  <si>
    <t>NTU</t>
  </si>
  <si>
    <t>NTR</t>
  </si>
  <si>
    <t>GSP</t>
  </si>
  <si>
    <t>Single Trip - Cancellation Top Up</t>
  </si>
  <si>
    <t>AMT</t>
  </si>
  <si>
    <t>AMT - Cancellation Top Up</t>
  </si>
  <si>
    <t>Net to Allianz with effect from 24February 2026</t>
  </si>
  <si>
    <t>Net to Rush (Including Rebate) with effect from 24 February 2026</t>
  </si>
  <si>
    <t>Hays GSP with effect from 24 February 2026</t>
  </si>
  <si>
    <t>Net to Allianz with effect from 24 February 2026</t>
  </si>
  <si>
    <t>Rates effective from 24 February 2026</t>
  </si>
  <si>
    <t>Lead Time</t>
  </si>
  <si>
    <t>0-15 days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</si>
  <si>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</si>
  <si>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</si>
  <si>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</si>
  <si>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</si>
  <si>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</si>
  <si>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</si>
  <si>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</si>
  <si>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</si>
  <si>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</si>
  <si>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</si>
  <si>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</si>
  <si>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>18 months</t>
  </si>
  <si>
    <t>24 months</t>
  </si>
  <si>
    <t>&gt;24 Months</t>
  </si>
  <si>
    <t>Lead Time Loading</t>
  </si>
  <si>
    <t>31-90</t>
  </si>
  <si>
    <t>91-900</t>
  </si>
  <si>
    <t>16-30 Days</t>
  </si>
  <si>
    <t>16-30</t>
  </si>
  <si>
    <t>Day Range</t>
  </si>
  <si>
    <t>0-15</t>
  </si>
  <si>
    <t>Rates effective from 4 June 2026 (Stage 2)</t>
  </si>
  <si>
    <t>EAW Calculator</t>
  </si>
  <si>
    <t>Lead In Calculator</t>
  </si>
  <si>
    <t>Start Date</t>
  </si>
  <si>
    <t>Issue Date</t>
  </si>
  <si>
    <t>End Date</t>
  </si>
  <si>
    <t>Start date</t>
  </si>
  <si>
    <t>Days</t>
  </si>
  <si>
    <t>Lead in time</t>
  </si>
  <si>
    <t>Additional Weeks</t>
  </si>
  <si>
    <t>Loading</t>
  </si>
  <si>
    <t>Hays Travel - Rates &amp; Rating Notes</t>
  </si>
  <si>
    <t>Net to Allianz with effect from 4 June 2026</t>
  </si>
  <si>
    <t>Net to Rush (Including Rebate) with effect from 4 June 2026</t>
  </si>
  <si>
    <t>Hays GSP with effect from 4 June 2026</t>
  </si>
  <si>
    <t>Age Band Loading</t>
  </si>
  <si>
    <t>AMT Gold Standard Policy</t>
  </si>
  <si>
    <t>AMT Gold Including Cruise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</si>
</sst>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£&quot;#,##0;[Red]\-&quot;£&quot;#,##0"/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&quot;£&quot;#,##0.00;[Red]\(&quot;£&quot;#,##0.00\)"/>
    <numFmt numFmtId="166" formatCode="&quot;£&quot;#,##0.00;[Red]&quot;£&quot;#,##0.00"/>
    <numFmt numFmtId="167" formatCode="_-* #,##0.000_-;\-* #,##0.000_-;_-* &quot;-&quot;??_-;_-@_-"/>
    <numFmt numFmtId="168" formatCode="&quot;£&quot;#,##0.00"/>
    <numFmt numFmtId="169" formatCode="0.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D700"/>
        <bgColor indexed="64"/>
      </patternFill>
    </fill>
    <fill>
      <patternFill patternType="solid">
        <fgColor rgb="FFDAA52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6">
    <xf numFmtId="0" fontId="0" fillId="0" borderId="0"/>
    <xf numFmtId="0" fontId="2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52">
    <xf numFmtId="0" fontId="0" fillId="0" borderId="0" xfId="0"/>
    <xf numFmtId="0" fontId="0" fillId="5" borderId="0" xfId="0" applyFill="1"/>
    <xf numFmtId="0" fontId="6" fillId="5" borderId="0" xfId="0" applyFont="1" applyFill="1" applyAlignment="1">
      <alignment horizontal="center"/>
    </xf>
    <xf numFmtId="0" fontId="8" fillId="5" borderId="0" xfId="0" applyFont="1" applyFill="1"/>
    <xf numFmtId="0" fontId="1" fillId="5" borderId="0" xfId="0" applyFont="1" applyFill="1"/>
    <xf numFmtId="7" fontId="0" fillId="9" borderId="10" xfId="4" applyNumberFormat="1" applyFont="1" applyFill="1" applyBorder="1" applyAlignment="1">
      <alignment horizontal="center"/>
    </xf>
    <xf numFmtId="7" fontId="0" fillId="9" borderId="5" xfId="4" applyNumberFormat="1" applyFont="1" applyFill="1" applyBorder="1" applyAlignment="1">
      <alignment horizontal="center"/>
    </xf>
    <xf numFmtId="7" fontId="0" fillId="9" borderId="11" xfId="4" applyNumberFormat="1" applyFont="1" applyFill="1" applyBorder="1" applyAlignment="1">
      <alignment horizontal="center"/>
    </xf>
    <xf numFmtId="7" fontId="0" fillId="5" borderId="0" xfId="4" applyNumberFormat="1" applyFont="1" applyFill="1" applyAlignment="1">
      <alignment horizontal="center"/>
    </xf>
    <xf numFmtId="7" fontId="0" fillId="10" borderId="10" xfId="4" applyNumberFormat="1" applyFont="1" applyFill="1" applyBorder="1" applyAlignment="1">
      <alignment horizontal="center"/>
    </xf>
    <xf numFmtId="7" fontId="0" fillId="10" borderId="5" xfId="4" applyNumberFormat="1" applyFont="1" applyFill="1" applyBorder="1" applyAlignment="1">
      <alignment horizontal="center"/>
    </xf>
    <xf numFmtId="7" fontId="0" fillId="10" borderId="11" xfId="4" applyNumberFormat="1" applyFont="1" applyFill="1" applyBorder="1" applyAlignment="1">
      <alignment horizontal="center"/>
    </xf>
    <xf numFmtId="7" fontId="0" fillId="9" borderId="12" xfId="4" applyNumberFormat="1" applyFont="1" applyFill="1" applyBorder="1" applyAlignment="1">
      <alignment horizontal="center"/>
    </xf>
    <xf numFmtId="7" fontId="0" fillId="9" borderId="6" xfId="4" applyNumberFormat="1" applyFont="1" applyFill="1" applyBorder="1" applyAlignment="1">
      <alignment horizontal="center"/>
    </xf>
    <xf numFmtId="7" fontId="0" fillId="9" borderId="13" xfId="4" applyNumberFormat="1" applyFont="1" applyFill="1" applyBorder="1" applyAlignment="1">
      <alignment horizontal="center"/>
    </xf>
    <xf numFmtId="7" fontId="0" fillId="10" borderId="12" xfId="4" applyNumberFormat="1" applyFont="1" applyFill="1" applyBorder="1" applyAlignment="1">
      <alignment horizontal="center"/>
    </xf>
    <xf numFmtId="7" fontId="0" fillId="10" borderId="6" xfId="4" applyNumberFormat="1" applyFont="1" applyFill="1" applyBorder="1" applyAlignment="1">
      <alignment horizontal="center"/>
    </xf>
    <xf numFmtId="7" fontId="0" fillId="10" borderId="13" xfId="4" applyNumberFormat="1" applyFont="1" applyFill="1" applyBorder="1" applyAlignment="1">
      <alignment horizontal="center"/>
    </xf>
    <xf numFmtId="0" fontId="1" fillId="5" borderId="0" xfId="0" applyFont="1" applyFill="1" applyAlignment="1">
      <alignment wrapText="1"/>
    </xf>
    <xf numFmtId="0" fontId="1" fillId="9" borderId="14" xfId="0" applyFont="1" applyFill="1" applyBorder="1" applyAlignment="1">
      <alignment horizontal="center" wrapText="1"/>
    </xf>
    <xf numFmtId="0" fontId="1" fillId="9" borderId="15" xfId="0" applyFont="1" applyFill="1" applyBorder="1" applyAlignment="1">
      <alignment horizontal="center" wrapText="1"/>
    </xf>
    <xf numFmtId="0" fontId="1" fillId="9" borderId="16" xfId="0" applyFont="1" applyFill="1" applyBorder="1" applyAlignment="1">
      <alignment horizontal="center" wrapText="1"/>
    </xf>
    <xf numFmtId="0" fontId="1" fillId="10" borderId="14" xfId="0" applyFont="1" applyFill="1" applyBorder="1" applyAlignment="1">
      <alignment horizontal="center" wrapText="1"/>
    </xf>
    <xf numFmtId="0" fontId="1" fillId="10" borderId="15" xfId="0" applyFont="1" applyFill="1" applyBorder="1" applyAlignment="1">
      <alignment horizontal="center" wrapText="1"/>
    </xf>
    <xf numFmtId="0" fontId="1" fillId="10" borderId="16" xfId="0" applyFont="1" applyFill="1" applyBorder="1" applyAlignment="1">
      <alignment horizontal="center" wrapText="1"/>
    </xf>
    <xf numFmtId="0" fontId="0" fillId="5" borderId="0" xfId="0" applyFill="1" applyAlignment="1">
      <alignment horizontal="right"/>
    </xf>
    <xf numFmtId="0" fontId="0" fillId="5" borderId="17" xfId="0" applyFill="1" applyBorder="1" applyAlignment="1">
      <alignment horizontal="right"/>
    </xf>
    <xf numFmtId="0" fontId="0" fillId="5" borderId="18" xfId="0" applyFill="1" applyBorder="1" applyAlignment="1">
      <alignment horizontal="right"/>
    </xf>
    <xf numFmtId="7" fontId="1" fillId="5" borderId="0" xfId="4" applyNumberFormat="1" applyFont="1" applyFill="1" applyAlignment="1">
      <alignment horizontal="center"/>
    </xf>
    <xf numFmtId="9" fontId="1" fillId="4" borderId="1" xfId="2" applyFont="1" applyFill="1" applyBorder="1" applyAlignment="1">
      <alignment horizontal="center"/>
    </xf>
    <xf numFmtId="164" fontId="1" fillId="4" borderId="1" xfId="2" applyNumberFormat="1" applyFont="1" applyFill="1" applyBorder="1" applyAlignment="1">
      <alignment horizontal="center"/>
    </xf>
    <xf numFmtId="10" fontId="1" fillId="4" borderId="1" xfId="2" applyNumberFormat="1" applyFont="1" applyFill="1" applyBorder="1" applyAlignment="1">
      <alignment horizontal="center"/>
    </xf>
    <xf numFmtId="0" fontId="1" fillId="5" borderId="0" xfId="0" applyFont="1" applyFill="1" applyAlignment="1">
      <alignment horizontal="right"/>
    </xf>
    <xf numFmtId="0" fontId="1" fillId="5" borderId="0" xfId="0" applyFont="1" applyFill="1" applyAlignment="1">
      <alignment horizontal="right" wrapText="1"/>
    </xf>
    <xf numFmtId="0" fontId="1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 vertical="center" wrapText="1"/>
    </xf>
    <xf numFmtId="14" fontId="1" fillId="5" borderId="0" xfId="0" applyNumberFormat="1" applyFont="1" applyFill="1" applyAlignment="1">
      <alignment horizontal="center"/>
    </xf>
    <xf numFmtId="7" fontId="0" fillId="5" borderId="0" xfId="0" applyNumberFormat="1" applyFill="1"/>
    <xf numFmtId="10" fontId="1" fillId="5" borderId="0" xfId="2" applyNumberFormat="1" applyFont="1" applyFill="1"/>
    <xf numFmtId="0" fontId="0" fillId="5" borderId="0" xfId="0" applyFill="1" applyAlignment="1">
      <alignment horizontal="center"/>
    </xf>
    <xf numFmtId="8" fontId="0" fillId="5" borderId="0" xfId="0" applyNumberFormat="1" applyFill="1"/>
    <xf numFmtId="8" fontId="0" fillId="5" borderId="0" xfId="0" applyNumberFormat="1" applyFill="1" applyAlignment="1">
      <alignment horizontal="center"/>
    </xf>
    <xf numFmtId="2" fontId="0" fillId="5" borderId="0" xfId="0" applyNumberFormat="1" applyFill="1"/>
    <xf numFmtId="14" fontId="0" fillId="5" borderId="0" xfId="0" applyNumberFormat="1" applyFill="1"/>
    <xf numFmtId="0" fontId="2" fillId="5" borderId="0" xfId="1" applyFill="1"/>
    <xf numFmtId="0" fontId="6" fillId="5" borderId="0" xfId="1" applyFont="1" applyFill="1"/>
    <xf numFmtId="0" fontId="0" fillId="5" borderId="0" xfId="0" applyFill="1" applyAlignment="1">
      <alignment horizontal="left"/>
    </xf>
    <xf numFmtId="9" fontId="0" fillId="5" borderId="0" xfId="0" applyNumberFormat="1" applyFill="1" applyAlignment="1">
      <alignment horizontal="left"/>
    </xf>
    <xf numFmtId="0" fontId="6" fillId="5" borderId="0" xfId="1" applyFont="1" applyFill="1" applyAlignment="1">
      <alignment horizontal="right"/>
    </xf>
    <xf numFmtId="0" fontId="5" fillId="5" borderId="0" xfId="1" applyFont="1" applyFill="1" applyAlignment="1">
      <alignment horizontal="right"/>
    </xf>
    <xf numFmtId="0" fontId="2" fillId="5" borderId="0" xfId="1" applyFill="1" applyAlignment="1">
      <alignment horizontal="right" vertical="center" wrapText="1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vertical="center"/>
    </xf>
    <xf numFmtId="0" fontId="3" fillId="5" borderId="0" xfId="0" applyFont="1" applyFill="1" applyAlignment="1">
      <alignment horizontal="left" vertical="center" indent="5"/>
    </xf>
    <xf numFmtId="8" fontId="1" fillId="5" borderId="0" xfId="0" applyNumberFormat="1" applyFont="1" applyFill="1" applyAlignment="1">
      <alignment horizontal="center"/>
    </xf>
    <xf numFmtId="0" fontId="0" fillId="4" borderId="0" xfId="0" applyFill="1"/>
    <xf numFmtId="165" fontId="1" fillId="5" borderId="0" xfId="0" applyNumberFormat="1" applyFont="1" applyFill="1" applyAlignment="1">
      <alignment horizontal="center"/>
    </xf>
    <xf numFmtId="0" fontId="0" fillId="5" borderId="19" xfId="0" applyFill="1" applyBorder="1"/>
    <xf numFmtId="165" fontId="1" fillId="5" borderId="19" xfId="0" applyNumberFormat="1" applyFont="1" applyFill="1" applyBorder="1" applyAlignment="1">
      <alignment horizontal="center"/>
    </xf>
    <xf numFmtId="166" fontId="0" fillId="5" borderId="0" xfId="0" applyNumberFormat="1" applyFill="1"/>
    <xf numFmtId="0" fontId="1" fillId="5" borderId="19" xfId="0" applyFont="1" applyFill="1" applyBorder="1" applyAlignment="1">
      <alignment horizontal="center" wrapText="1"/>
    </xf>
    <xf numFmtId="0" fontId="1" fillId="5" borderId="20" xfId="0" applyFont="1" applyFill="1" applyBorder="1" applyAlignment="1">
      <alignment horizontal="center" wrapText="1"/>
    </xf>
    <xf numFmtId="0" fontId="1" fillId="5" borderId="0" xfId="0" applyFont="1" applyFill="1" applyAlignment="1">
      <alignment horizontal="center" wrapText="1"/>
    </xf>
    <xf numFmtId="0" fontId="0" fillId="5" borderId="20" xfId="0" applyFill="1" applyBorder="1"/>
    <xf numFmtId="165" fontId="0" fillId="5" borderId="20" xfId="0" applyNumberFormat="1" applyFill="1" applyBorder="1" applyAlignment="1">
      <alignment horizontal="center"/>
    </xf>
    <xf numFmtId="165" fontId="0" fillId="5" borderId="0" xfId="0" applyNumberFormat="1" applyFill="1" applyAlignment="1">
      <alignment horizontal="center"/>
    </xf>
    <xf numFmtId="0" fontId="1" fillId="4" borderId="0" xfId="0" applyFont="1" applyFill="1" applyAlignment="1">
      <alignment horizontal="center" wrapText="1"/>
    </xf>
    <xf numFmtId="165" fontId="1" fillId="4" borderId="0" xfId="0" applyNumberFormat="1" applyFont="1" applyFill="1" applyAlignment="1">
      <alignment horizontal="center"/>
    </xf>
    <xf numFmtId="165" fontId="1" fillId="4" borderId="21" xfId="0" applyNumberFormat="1" applyFont="1" applyFill="1" applyBorder="1" applyAlignment="1">
      <alignment horizontal="center"/>
    </xf>
    <xf numFmtId="165" fontId="0" fillId="5" borderId="22" xfId="0" applyNumberFormat="1" applyFill="1" applyBorder="1" applyAlignment="1">
      <alignment horizontal="center"/>
    </xf>
    <xf numFmtId="165" fontId="1" fillId="5" borderId="21" xfId="0" applyNumberFormat="1" applyFont="1" applyFill="1" applyBorder="1" applyAlignment="1">
      <alignment horizontal="center"/>
    </xf>
    <xf numFmtId="165" fontId="0" fillId="5" borderId="21" xfId="0" applyNumberFormat="1" applyFill="1" applyBorder="1" applyAlignment="1">
      <alignment horizontal="center"/>
    </xf>
    <xf numFmtId="165" fontId="1" fillId="5" borderId="23" xfId="0" applyNumberFormat="1" applyFont="1" applyFill="1" applyBorder="1" applyAlignment="1">
      <alignment horizontal="center"/>
    </xf>
    <xf numFmtId="7" fontId="1" fillId="5" borderId="21" xfId="0" applyNumberFormat="1" applyFont="1" applyFill="1" applyBorder="1" applyAlignment="1">
      <alignment horizontal="right"/>
    </xf>
    <xf numFmtId="8" fontId="0" fillId="5" borderId="0" xfId="0" applyNumberFormat="1" applyFill="1" applyAlignment="1">
      <alignment horizontal="center" vertical="center"/>
    </xf>
    <xf numFmtId="9" fontId="0" fillId="5" borderId="0" xfId="2" applyFont="1" applyFill="1"/>
    <xf numFmtId="164" fontId="0" fillId="5" borderId="0" xfId="2" applyNumberFormat="1" applyFont="1" applyFill="1"/>
    <xf numFmtId="167" fontId="0" fillId="5" borderId="0" xfId="5" applyNumberFormat="1" applyFont="1" applyFill="1"/>
    <xf numFmtId="167" fontId="0" fillId="5" borderId="0" xfId="0" applyNumberFormat="1" applyFill="1"/>
    <xf numFmtId="0" fontId="0" fillId="10" borderId="0" xfId="0" applyFill="1" applyAlignment="1">
      <alignment horizontal="right"/>
    </xf>
    <xf numFmtId="0" fontId="0" fillId="10" borderId="0" xfId="0" applyFill="1"/>
    <xf numFmtId="9" fontId="0" fillId="5" borderId="0" xfId="2" applyFont="1" applyFill="1" applyAlignment="1">
      <alignment horizontal="center"/>
    </xf>
    <xf numFmtId="9" fontId="1" fillId="5" borderId="0" xfId="2" applyFont="1" applyFill="1"/>
    <xf numFmtId="9" fontId="0" fillId="5" borderId="0" xfId="0" applyNumberFormat="1" applyFill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7" fontId="0" fillId="0" borderId="0" xfId="4" applyNumberFormat="1" applyFont="1" applyFill="1" applyBorder="1" applyAlignment="1">
      <alignment horizontal="center"/>
    </xf>
    <xf numFmtId="7" fontId="0" fillId="0" borderId="0" xfId="4" applyNumberFormat="1" applyFont="1" applyFill="1" applyAlignment="1">
      <alignment horizontal="center"/>
    </xf>
    <xf numFmtId="10" fontId="1" fillId="5" borderId="0" xfId="2" applyNumberFormat="1" applyFont="1" applyFill="1" applyAlignment="1">
      <alignment vertical="center"/>
    </xf>
    <xf numFmtId="10" fontId="1" fillId="5" borderId="1" xfId="2" applyNumberFormat="1" applyFont="1" applyFill="1" applyBorder="1"/>
    <xf numFmtId="10" fontId="1" fillId="5" borderId="0" xfId="2" applyNumberFormat="1" applyFont="1" applyFill="1" applyAlignment="1">
      <alignment wrapText="1"/>
    </xf>
    <xf numFmtId="164" fontId="0" fillId="5" borderId="0" xfId="2" applyNumberFormat="1" applyFont="1" applyFill="1" applyAlignment="1">
      <alignment vertical="center"/>
    </xf>
    <xf numFmtId="8" fontId="0" fillId="5" borderId="0" xfId="0" applyNumberFormat="1" applyFill="1" applyAlignment="1">
      <alignment vertical="center"/>
    </xf>
    <xf numFmtId="0" fontId="1" fillId="5" borderId="0" xfId="0" applyFont="1" applyFill="1" applyAlignment="1">
      <alignment vertical="center" wrapText="1"/>
    </xf>
    <xf numFmtId="0" fontId="1" fillId="5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6" fontId="0" fillId="5" borderId="0" xfId="0" applyNumberFormat="1" applyFill="1" applyAlignment="1">
      <alignment vertical="center"/>
    </xf>
    <xf numFmtId="0" fontId="0" fillId="5" borderId="0" xfId="0" applyFill="1" applyAlignment="1">
      <alignment vertical="center" wrapText="1"/>
    </xf>
    <xf numFmtId="0" fontId="0" fillId="10" borderId="0" xfId="0" applyFill="1" applyAlignment="1">
      <alignment vertical="center"/>
    </xf>
    <xf numFmtId="0" fontId="1" fillId="10" borderId="0" xfId="0" applyFont="1" applyFill="1" applyAlignment="1">
      <alignment vertical="center"/>
    </xf>
    <xf numFmtId="44" fontId="0" fillId="5" borderId="0" xfId="4" applyFont="1" applyFill="1"/>
    <xf numFmtId="164" fontId="0" fillId="5" borderId="0" xfId="0" applyNumberFormat="1" applyFill="1"/>
    <xf numFmtId="43" fontId="0" fillId="5" borderId="0" xfId="5" applyFont="1" applyFill="1" applyAlignment="1">
      <alignment horizontal="center"/>
    </xf>
    <xf numFmtId="7" fontId="4" fillId="9" borderId="10" xfId="4" applyNumberFormat="1" applyFont="1" applyFill="1" applyBorder="1" applyAlignment="1">
      <alignment horizontal="center"/>
    </xf>
    <xf numFmtId="7" fontId="4" fillId="9" borderId="5" xfId="4" applyNumberFormat="1" applyFont="1" applyFill="1" applyBorder="1" applyAlignment="1">
      <alignment horizontal="center"/>
    </xf>
    <xf numFmtId="7" fontId="4" fillId="9" borderId="11" xfId="4" applyNumberFormat="1" applyFont="1" applyFill="1" applyBorder="1" applyAlignment="1">
      <alignment horizontal="center"/>
    </xf>
    <xf numFmtId="7" fontId="4" fillId="5" borderId="0" xfId="4" applyNumberFormat="1" applyFont="1" applyFill="1" applyAlignment="1">
      <alignment horizontal="center"/>
    </xf>
    <xf numFmtId="7" fontId="4" fillId="10" borderId="10" xfId="4" applyNumberFormat="1" applyFont="1" applyFill="1" applyBorder="1" applyAlignment="1">
      <alignment horizontal="center"/>
    </xf>
    <xf numFmtId="7" fontId="4" fillId="10" borderId="5" xfId="4" applyNumberFormat="1" applyFont="1" applyFill="1" applyBorder="1" applyAlignment="1">
      <alignment horizontal="center"/>
    </xf>
    <xf numFmtId="7" fontId="4" fillId="10" borderId="11" xfId="4" applyNumberFormat="1" applyFont="1" applyFill="1" applyBorder="1" applyAlignment="1">
      <alignment horizontal="center"/>
    </xf>
    <xf numFmtId="7" fontId="4" fillId="9" borderId="12" xfId="4" applyNumberFormat="1" applyFont="1" applyFill="1" applyBorder="1" applyAlignment="1">
      <alignment horizontal="center"/>
    </xf>
    <xf numFmtId="7" fontId="4" fillId="9" borderId="6" xfId="4" applyNumberFormat="1" applyFont="1" applyFill="1" applyBorder="1" applyAlignment="1">
      <alignment horizontal="center"/>
    </xf>
    <xf numFmtId="7" fontId="4" fillId="9" borderId="13" xfId="4" applyNumberFormat="1" applyFont="1" applyFill="1" applyBorder="1" applyAlignment="1">
      <alignment horizontal="center"/>
    </xf>
    <xf numFmtId="7" fontId="4" fillId="10" borderId="12" xfId="4" applyNumberFormat="1" applyFont="1" applyFill="1" applyBorder="1" applyAlignment="1">
      <alignment horizontal="center"/>
    </xf>
    <xf numFmtId="7" fontId="4" fillId="10" borderId="6" xfId="4" applyNumberFormat="1" applyFont="1" applyFill="1" applyBorder="1" applyAlignment="1">
      <alignment horizontal="center"/>
    </xf>
    <xf numFmtId="7" fontId="4" fillId="10" borderId="13" xfId="4" applyNumberFormat="1" applyFont="1" applyFill="1" applyBorder="1" applyAlignment="1">
      <alignment horizontal="center"/>
    </xf>
    <xf numFmtId="0" fontId="0" fillId="5" borderId="0" xfId="0" applyFill="1" applyAlignment="1">
      <alignment horizontal="right" wrapText="1"/>
    </xf>
    <xf numFmtId="0" fontId="0" fillId="5" borderId="0" xfId="0" applyFill="1" applyAlignment="1">
      <alignment horizontal="left" vertical="center"/>
    </xf>
    <xf numFmtId="0" fontId="9" fillId="5" borderId="0" xfId="1" applyFont="1" applyFill="1" applyAlignment="1">
      <alignment horizontal="left" vertical="top"/>
    </xf>
    <xf numFmtId="0" fontId="6" fillId="5" borderId="0" xfId="1" applyFont="1" applyFill="1" applyAlignment="1">
      <alignment horizontal="left" vertical="top"/>
    </xf>
    <xf numFmtId="0" fontId="0" fillId="5" borderId="0" xfId="0" applyFill="1" applyAlignment="1">
      <alignment horizontal="left" vertical="top"/>
    </xf>
    <xf numFmtId="0" fontId="0" fillId="2" borderId="0" xfId="0" applyFill="1" applyAlignment="1">
      <alignment horizontal="center"/>
    </xf>
    <xf numFmtId="164" fontId="0" fillId="5" borderId="0" xfId="2" applyNumberFormat="1" applyFont="1" applyFill="1" applyAlignment="1">
      <alignment horizontal="center"/>
    </xf>
    <xf numFmtId="8" fontId="0" fillId="5" borderId="0" xfId="4" applyNumberFormat="1" applyFont="1" applyFill="1" applyAlignment="1">
      <alignment horizontal="center"/>
    </xf>
    <xf numFmtId="164" fontId="0" fillId="4" borderId="0" xfId="2" applyNumberFormat="1" applyFont="1" applyFill="1" applyAlignment="1">
      <alignment horizontal="center"/>
    </xf>
    <xf numFmtId="8" fontId="0" fillId="4" borderId="0" xfId="4" applyNumberFormat="1" applyFont="1" applyFill="1" applyAlignment="1">
      <alignment horizontal="center"/>
    </xf>
    <xf numFmtId="0" fontId="1" fillId="12" borderId="0" xfId="0" applyFont="1" applyFill="1" applyAlignment="1">
      <alignment vertical="center"/>
    </xf>
    <xf numFmtId="0" fontId="1" fillId="12" borderId="0" xfId="0" applyFont="1" applyFill="1" applyAlignment="1">
      <alignment vertical="center" wrapText="1"/>
    </xf>
    <xf numFmtId="8" fontId="0" fillId="12" borderId="0" xfId="0" applyNumberFormat="1" applyFill="1"/>
    <xf numFmtId="0" fontId="0" fillId="12" borderId="0" xfId="0" applyFill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8" fontId="0" fillId="2" borderId="0" xfId="0" applyNumberFormat="1" applyFill="1" applyAlignment="1">
      <alignment horizontal="center"/>
    </xf>
    <xf numFmtId="164" fontId="0" fillId="5" borderId="0" xfId="2" applyNumberFormat="1" applyFont="1" applyFill="1" applyAlignment="1">
      <alignment horizontal="right" vertical="center"/>
    </xf>
    <xf numFmtId="2" fontId="0" fillId="5" borderId="0" xfId="0" applyNumberFormat="1" applyFill="1" applyAlignment="1">
      <alignment horizontal="right" vertical="center"/>
    </xf>
    <xf numFmtId="0" fontId="0" fillId="3" borderId="0" xfId="0" applyFill="1" applyAlignment="1">
      <alignment horizontal="center"/>
    </xf>
    <xf numFmtId="0" fontId="0" fillId="14" borderId="0" xfId="0" applyFill="1" applyAlignment="1">
      <alignment horizontal="center"/>
    </xf>
    <xf numFmtId="0" fontId="1" fillId="5" borderId="0" xfId="0" applyFont="1" applyFill="1" applyAlignment="1">
      <alignment horizontal="right" vertical="center"/>
    </xf>
    <xf numFmtId="0" fontId="0" fillId="2" borderId="0" xfId="0" applyFill="1"/>
    <xf numFmtId="164" fontId="0" fillId="2" borderId="0" xfId="2" applyNumberFormat="1" applyFont="1" applyFill="1"/>
    <xf numFmtId="0" fontId="1" fillId="13" borderId="0" xfId="0" applyFont="1" applyFill="1" applyAlignment="1">
      <alignment vertical="center" wrapText="1"/>
    </xf>
    <xf numFmtId="0" fontId="0" fillId="13" borderId="0" xfId="0" applyFill="1"/>
    <xf numFmtId="164" fontId="0" fillId="13" borderId="0" xfId="2" applyNumberFormat="1" applyFont="1" applyFill="1"/>
    <xf numFmtId="8" fontId="0" fillId="13" borderId="0" xfId="0" applyNumberFormat="1" applyFill="1"/>
    <xf numFmtId="164" fontId="0" fillId="12" borderId="0" xfId="2" applyNumberFormat="1" applyFont="1" applyFill="1"/>
    <xf numFmtId="0" fontId="1" fillId="3" borderId="0" xfId="0" applyFont="1" applyFill="1" applyAlignment="1">
      <alignment vertical="center" wrapText="1"/>
    </xf>
    <xf numFmtId="9" fontId="0" fillId="3" borderId="0" xfId="2" applyFont="1" applyFill="1" applyAlignment="1">
      <alignment horizontal="center"/>
    </xf>
    <xf numFmtId="8" fontId="0" fillId="3" borderId="0" xfId="0" applyNumberFormat="1" applyFill="1" applyAlignment="1">
      <alignment horizontal="center"/>
    </xf>
    <xf numFmtId="43" fontId="0" fillId="3" borderId="0" xfId="5" applyFont="1" applyFill="1" applyAlignment="1">
      <alignment horizontal="center"/>
    </xf>
    <xf numFmtId="0" fontId="1" fillId="14" borderId="0" xfId="0" applyFont="1" applyFill="1" applyAlignment="1">
      <alignment horizontal="center" vertical="center"/>
    </xf>
    <xf numFmtId="0" fontId="1" fillId="14" borderId="0" xfId="0" applyFont="1" applyFill="1" applyAlignment="1">
      <alignment vertical="center" wrapText="1"/>
    </xf>
    <xf numFmtId="8" fontId="0" fillId="14" borderId="0" xfId="0" applyNumberFormat="1" applyFill="1" applyAlignment="1">
      <alignment horizontal="center"/>
    </xf>
    <xf numFmtId="0" fontId="0" fillId="14" borderId="0" xfId="0" applyFill="1"/>
    <xf numFmtId="8" fontId="0" fillId="14" borderId="0" xfId="0" applyNumberFormat="1" applyFill="1"/>
    <xf numFmtId="9" fontId="0" fillId="14" borderId="0" xfId="2" applyFont="1" applyFill="1"/>
    <xf numFmtId="0" fontId="0" fillId="5" borderId="0" xfId="0" applyFill="1" applyAlignment="1">
      <alignment wrapText="1"/>
    </xf>
    <xf numFmtId="0" fontId="0" fillId="5" borderId="0" xfId="0" applyFill="1" applyAlignment="1">
      <alignment horizontal="right" vertical="center" wrapText="1"/>
    </xf>
    <xf numFmtId="0" fontId="0" fillId="5" borderId="0" xfId="0" applyFill="1" applyAlignment="1">
      <alignment vertical="top" wrapText="1"/>
    </xf>
    <xf numFmtId="8" fontId="0" fillId="5" borderId="0" xfId="0" applyNumberFormat="1" applyFill="1" applyAlignment="1">
      <alignment horizontal="right" vertical="center"/>
    </xf>
    <xf numFmtId="8" fontId="0" fillId="2" borderId="0" xfId="0" applyNumberFormat="1" applyFill="1" applyAlignment="1">
      <alignment horizontal="right"/>
    </xf>
    <xf numFmtId="8" fontId="12" fillId="3" borderId="0" xfId="0" applyNumberFormat="1" applyFont="1" applyFill="1" applyAlignment="1">
      <alignment horizontal="center"/>
    </xf>
    <xf numFmtId="10" fontId="1" fillId="4" borderId="1" xfId="2" applyNumberFormat="1" applyFont="1" applyFill="1" applyBorder="1"/>
    <xf numFmtId="0" fontId="12" fillId="0" borderId="0" xfId="0" applyFont="1" applyAlignment="1">
      <alignment horizontal="right"/>
    </xf>
    <xf numFmtId="0" fontId="12" fillId="0" borderId="0" xfId="0" applyFont="1"/>
    <xf numFmtId="0" fontId="6" fillId="0" borderId="0" xfId="0" applyFont="1"/>
    <xf numFmtId="0" fontId="1" fillId="0" borderId="0" xfId="0" applyFont="1"/>
    <xf numFmtId="8" fontId="0" fillId="3" borderId="0" xfId="0" applyNumberFormat="1" applyFill="1" applyAlignment="1">
      <alignment horizontal="center" vertical="center"/>
    </xf>
    <xf numFmtId="8" fontId="4" fillId="9" borderId="10" xfId="4" applyNumberFormat="1" applyFont="1" applyFill="1" applyBorder="1" applyAlignment="1">
      <alignment horizontal="center"/>
    </xf>
    <xf numFmtId="0" fontId="11" fillId="5" borderId="0" xfId="0" applyFont="1" applyFill="1"/>
    <xf numFmtId="0" fontId="11" fillId="5" borderId="0" xfId="0" applyFont="1" applyFill="1" applyAlignment="1">
      <alignment horizontal="right"/>
    </xf>
    <xf numFmtId="0" fontId="13" fillId="5" borderId="0" xfId="0" applyFont="1" applyFill="1"/>
    <xf numFmtId="0" fontId="10" fillId="0" borderId="0" xfId="0" applyFont="1"/>
    <xf numFmtId="168" fontId="0" fillId="0" borderId="0" xfId="0" applyNumberFormat="1"/>
    <xf numFmtId="0" fontId="0" fillId="15" borderId="0" xfId="0" applyFill="1"/>
    <xf numFmtId="168" fontId="0" fillId="15" borderId="0" xfId="0" applyNumberFormat="1" applyFill="1"/>
    <xf numFmtId="0" fontId="0" fillId="16" borderId="0" xfId="0" applyFill="1"/>
    <xf numFmtId="168" fontId="0" fillId="16" borderId="0" xfId="0" applyNumberFormat="1" applyFill="1"/>
    <xf numFmtId="10" fontId="1" fillId="5" borderId="0" xfId="2" applyNumberFormat="1" applyFont="1" applyFill="1" applyAlignment="1"/>
    <xf numFmtId="8" fontId="0" fillId="5" borderId="0" xfId="4" applyNumberFormat="1" applyFont="1" applyFill="1"/>
    <xf numFmtId="8" fontId="0" fillId="5" borderId="0" xfId="4" applyNumberFormat="1" applyFont="1" applyFill="1" applyAlignment="1">
      <alignment vertical="center"/>
    </xf>
    <xf numFmtId="8" fontId="0" fillId="17" borderId="0" xfId="0" applyNumberFormat="1" applyFill="1" applyAlignment="1">
      <alignment horizontal="center"/>
    </xf>
    <xf numFmtId="8" fontId="0" fillId="17" borderId="0" xfId="0" applyNumberFormat="1" applyFill="1" applyAlignment="1">
      <alignment horizontal="center" vertical="center"/>
    </xf>
    <xf numFmtId="0" fontId="10" fillId="4" borderId="0" xfId="0" applyFont="1" applyFill="1"/>
    <xf numFmtId="10" fontId="1" fillId="4" borderId="0" xfId="0" applyNumberFormat="1" applyFont="1" applyFill="1" applyAlignment="1">
      <alignment wrapText="1"/>
    </xf>
    <xf numFmtId="8" fontId="13" fillId="0" borderId="0" xfId="0" applyNumberFormat="1" applyFont="1" applyAlignment="1">
      <alignment horizontal="right"/>
    </xf>
    <xf numFmtId="8" fontId="0" fillId="0" borderId="0" xfId="0" applyNumberFormat="1"/>
    <xf numFmtId="10" fontId="0" fillId="0" borderId="0" xfId="2" applyNumberFormat="1" applyFont="1"/>
    <xf numFmtId="10" fontId="0" fillId="0" borderId="0" xfId="0" applyNumberFormat="1"/>
    <xf numFmtId="0" fontId="11" fillId="18" borderId="0" xfId="0" applyFont="1" applyFill="1"/>
    <xf numFmtId="8" fontId="6" fillId="0" borderId="0" xfId="0" applyNumberFormat="1" applyFont="1" applyAlignment="1">
      <alignment horizontal="left"/>
    </xf>
    <xf numFmtId="0" fontId="2" fillId="0" borderId="0" xfId="1"/>
    <xf numFmtId="10" fontId="1" fillId="13" borderId="1" xfId="2" applyNumberFormat="1" applyFont="1" applyFill="1" applyBorder="1"/>
    <xf numFmtId="10" fontId="1" fillId="14" borderId="1" xfId="2" applyNumberFormat="1" applyFont="1" applyFill="1" applyBorder="1"/>
    <xf numFmtId="0" fontId="1" fillId="3" borderId="0" xfId="0" applyFont="1" applyFill="1" applyAlignment="1">
      <alignment horizontal="center" vertical="center"/>
    </xf>
    <xf numFmtId="0" fontId="1" fillId="13" borderId="0" xfId="0" applyFont="1" applyFill="1" applyAlignment="1">
      <alignment horizontal="center" vertical="center"/>
    </xf>
    <xf numFmtId="0" fontId="1" fillId="12" borderId="0" xfId="0" applyFont="1" applyFill="1" applyAlignment="1">
      <alignment horizontal="center" vertical="center"/>
    </xf>
    <xf numFmtId="0" fontId="0" fillId="5" borderId="0" xfId="0" applyFill="1" applyAlignment="1">
      <alignment horizontal="right" vertical="center"/>
    </xf>
    <xf numFmtId="169" fontId="0" fillId="5" borderId="0" xfId="0" applyNumberFormat="1" applyFill="1"/>
    <xf numFmtId="0" fontId="13" fillId="5" borderId="0" xfId="0" applyFont="1" applyFill="1" applyAlignment="1">
      <alignment horizontal="left"/>
    </xf>
    <xf numFmtId="0" fontId="10" fillId="19" borderId="0" xfId="0" applyFont="1" applyFill="1"/>
    <xf numFmtId="0" fontId="0" fillId="19" borderId="0" xfId="0" applyFill="1"/>
    <xf numFmtId="0" fontId="13" fillId="5" borderId="0" xfId="0" applyFont="1" applyFill="1" applyAlignment="1">
      <alignment horizontal="right"/>
    </xf>
    <xf numFmtId="0" fontId="0" fillId="0" borderId="6" xfId="0" applyBorder="1"/>
    <xf numFmtId="14" fontId="0" fillId="0" borderId="6" xfId="0" applyNumberFormat="1" applyBorder="1"/>
    <xf numFmtId="0" fontId="1" fillId="0" borderId="6" xfId="0" applyFont="1" applyBorder="1"/>
    <xf numFmtId="1" fontId="1" fillId="0" borderId="6" xfId="0" applyNumberFormat="1" applyFont="1" applyBorder="1" applyAlignment="1">
      <alignment horizontal="center"/>
    </xf>
    <xf numFmtId="1" fontId="1" fillId="0" borderId="6" xfId="2" applyNumberFormat="1" applyFont="1" applyFill="1" applyBorder="1" applyAlignment="1">
      <alignment horizontal="center"/>
    </xf>
    <xf numFmtId="0" fontId="2" fillId="5" borderId="0" xfId="1" applyFill="1" applyAlignment="1">
      <alignment horizontal="left" vertical="top"/>
    </xf>
    <xf numFmtId="0" fontId="6" fillId="5" borderId="0" xfId="1" applyFont="1" applyFill="1" applyAlignment="1">
      <alignment horizontal="left" wrapText="1"/>
    </xf>
    <xf numFmtId="0" fontId="1" fillId="12" borderId="0" xfId="0" applyFont="1" applyFill="1" applyAlignment="1">
      <alignment horizontal="center" vertical="center" wrapText="1"/>
    </xf>
    <xf numFmtId="0" fontId="1" fillId="13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12" borderId="0" xfId="0" applyFont="1" applyFill="1" applyAlignment="1">
      <alignment horizontal="center" vertical="center"/>
    </xf>
    <xf numFmtId="0" fontId="1" fillId="17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left" vertical="top" wrapText="1"/>
    </xf>
    <xf numFmtId="0" fontId="1" fillId="3" borderId="0" xfId="0" applyFont="1" applyFill="1" applyAlignment="1">
      <alignment horizontal="center" vertical="center"/>
    </xf>
    <xf numFmtId="0" fontId="1" fillId="1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1" fillId="5" borderId="0" xfId="0" applyFont="1" applyFill="1" applyAlignment="1">
      <alignment horizontal="center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7" fillId="7" borderId="2" xfId="0" applyFont="1" applyFill="1" applyBorder="1" applyAlignment="1">
      <alignment horizontal="center"/>
    </xf>
    <xf numFmtId="0" fontId="7" fillId="7" borderId="3" xfId="0" applyFont="1" applyFill="1" applyBorder="1" applyAlignment="1">
      <alignment horizontal="center"/>
    </xf>
    <xf numFmtId="0" fontId="7" fillId="7" borderId="4" xfId="0" applyFont="1" applyFill="1" applyBorder="1" applyAlignment="1">
      <alignment horizontal="center"/>
    </xf>
    <xf numFmtId="0" fontId="7" fillId="13" borderId="2" xfId="0" applyFont="1" applyFill="1" applyBorder="1" applyAlignment="1">
      <alignment horizontal="center"/>
    </xf>
    <xf numFmtId="0" fontId="7" fillId="13" borderId="3" xfId="0" applyFont="1" applyFill="1" applyBorder="1" applyAlignment="1">
      <alignment horizontal="center"/>
    </xf>
    <xf numFmtId="0" fontId="7" fillId="13" borderId="4" xfId="0" applyFont="1" applyFill="1" applyBorder="1" applyAlignment="1">
      <alignment horizontal="center"/>
    </xf>
    <xf numFmtId="0" fontId="9" fillId="11" borderId="2" xfId="0" applyFont="1" applyFill="1" applyBorder="1" applyAlignment="1">
      <alignment horizontal="center"/>
    </xf>
    <xf numFmtId="0" fontId="9" fillId="11" borderId="3" xfId="0" applyFont="1" applyFill="1" applyBorder="1" applyAlignment="1">
      <alignment horizontal="center"/>
    </xf>
    <xf numFmtId="0" fontId="9" fillId="11" borderId="4" xfId="0" applyFont="1" applyFill="1" applyBorder="1" applyAlignment="1">
      <alignment horizontal="center"/>
    </xf>
    <xf numFmtId="0" fontId="9" fillId="8" borderId="2" xfId="0" applyFont="1" applyFill="1" applyBorder="1" applyAlignment="1">
      <alignment horizontal="center"/>
    </xf>
    <xf numFmtId="0" fontId="9" fillId="8" borderId="3" xfId="0" applyFont="1" applyFill="1" applyBorder="1" applyAlignment="1">
      <alignment horizontal="center"/>
    </xf>
    <xf numFmtId="0" fontId="9" fillId="8" borderId="4" xfId="0" applyFont="1" applyFill="1" applyBorder="1" applyAlignment="1">
      <alignment horizontal="center"/>
    </xf>
    <xf numFmtId="0" fontId="10" fillId="5" borderId="0" xfId="0" applyFont="1" applyFill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0" fillId="5" borderId="0" xfId="0" applyFill="1" applyAlignment="1">
      <alignment horizontal="right" vertical="center"/>
    </xf>
    <xf numFmtId="0" fontId="1" fillId="3" borderId="0" xfId="0" applyFont="1" applyFill="1" applyAlignment="1">
      <alignment horizontal="center" vertical="center" wrapText="1"/>
    </xf>
    <xf numFmtId="0" fontId="1" fillId="14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left" vertical="center" wrapText="1"/>
    </xf>
    <xf numFmtId="0" fontId="0" fillId="5" borderId="0" xfId="0" applyFill="1" applyAlignment="1">
      <alignment horizontal="left" wrapText="1"/>
    </xf>
    <xf numFmtId="0" fontId="6" fillId="5" borderId="0" xfId="1" applyFont="1" applyFill="1" applyAlignment="1">
      <alignment horizontal="left" vertical="top" wrapText="1"/>
    </xf>
    <xf numFmtId="0" fontId="0" fillId="15" borderId="0" xfId="0" applyFill="1" applyAlignment="1">
      <alignment horizontal="left" wrapText="1"/>
    </xf>
    <xf numFmtId="0" fontId="0" fillId="16" borderId="0" xfId="0" applyFill="1" applyAlignment="1">
      <alignment horizontal="left" wrapText="1"/>
    </xf>
    <xf numFmtId="0" fontId="1" fillId="5" borderId="0" xfId="0" applyFont="1" applyFill="1" applyAlignment="1">
      <alignment horizontal="right" vertical="center" wrapText="1"/>
    </xf>
  </cellXfs>
  <cellStyles count="6">
    <cellStyle name="Comma" xfId="5" builtinId="3"/>
    <cellStyle name="Currency" xfId="4" builtinId="4"/>
    <cellStyle name="Currency 2" xfId="3" xr:uid="{00000000-0005-0000-0000-000030000000}"/>
    <cellStyle name="Normal" xfId="0" builtinId="0"/>
    <cellStyle name="Normal 3" xfId="1" xr:uid="{00000000-0005-0000-0000-000001000000}"/>
    <cellStyle name="Per cent" xfId="2" builtinId="5"/>
  </cellStyles>
  <dxfs count="0"/>
  <tableStyles count="0" defaultTableStyle="TableStyleMedium2" defaultPivotStyle="PivotStyleLight16"/>
  <colors>
    <mruColors>
      <color rgb="FFFFCCFF"/>
      <color rgb="FFFFFFCC"/>
      <color rgb="FF68953B"/>
      <color rgb="FFFFD700"/>
      <color rgb="FFFF99FF"/>
      <color rgb="FFDAA52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3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2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68F20-88CD-41DC-8D5C-2910A95AC78E}">
  <dimension ref="B2:F8"/>
  <sheetViews>
    <sheetView workbookViewId="0">
      <selection activeCell="F9" sqref="F9"/>
    </sheetView>
  </sheetViews>
  <sheetFormatPr defaultRowHeight="15" x14ac:dyDescent="0.25"/>
  <cols>
    <col min="2" max="2" width="17" bestFit="1" customWidth="1"/>
    <col min="3" max="3" width="10.7109375" bestFit="1" customWidth="1"/>
    <col min="5" max="5" width="16.7109375" bestFit="1" customWidth="1"/>
    <col min="6" max="6" width="10.7109375" bestFit="1" customWidth="1"/>
  </cols>
  <sheetData>
    <row r="2" spans="2:6" x14ac:dyDescent="0.25">
      <c r="B2" t="s">
        <v>209</v>
      </c>
    </row>
    <row r="4" spans="2:6" x14ac:dyDescent="0.25">
      <c r="B4" s="167" t="s">
        <v>199</v>
      </c>
      <c r="E4" s="167" t="s">
        <v>200</v>
      </c>
    </row>
    <row r="5" spans="2:6" x14ac:dyDescent="0.25">
      <c r="B5" s="204" t="s">
        <v>201</v>
      </c>
      <c r="C5" s="205">
        <v>46235</v>
      </c>
      <c r="E5" s="204" t="s">
        <v>202</v>
      </c>
      <c r="F5" s="205">
        <v>46174</v>
      </c>
    </row>
    <row r="6" spans="2:6" x14ac:dyDescent="0.25">
      <c r="B6" s="204" t="s">
        <v>203</v>
      </c>
      <c r="C6" s="205">
        <v>46309</v>
      </c>
      <c r="E6" s="204" t="s">
        <v>204</v>
      </c>
      <c r="F6" s="205">
        <v>46235</v>
      </c>
    </row>
    <row r="7" spans="2:6" x14ac:dyDescent="0.25">
      <c r="B7" s="206" t="s">
        <v>205</v>
      </c>
      <c r="C7" s="207">
        <f>C6-C5+1</f>
        <v>75</v>
      </c>
      <c r="E7" s="206" t="s">
        <v>206</v>
      </c>
      <c r="F7" s="207">
        <f>F6-F5</f>
        <v>61</v>
      </c>
    </row>
    <row r="8" spans="2:6" x14ac:dyDescent="0.25">
      <c r="B8" s="206" t="s">
        <v>207</v>
      </c>
      <c r="C8" s="208">
        <f>IF(C7-31&lt;0,0,ROUNDUP((C7-31)/7,0))</f>
        <v>7</v>
      </c>
      <c r="E8" s="206" t="s">
        <v>208</v>
      </c>
      <c r="F8" s="208" t="str">
        <f>IF(F7&lt;=15,"1",IF(F7&lt;=30,"1.15",IF(F7&lt;=90,"1.3",IF(F7&lt;=900,"1.35","N/A"))))</f>
        <v>1.3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734FF-A685-47D7-A000-5CBC9E7D132C}">
  <dimension ref="A1:BN81"/>
  <sheetViews>
    <sheetView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17" sqref="D17"/>
    </sheetView>
  </sheetViews>
  <sheetFormatPr defaultColWidth="8.85546875" defaultRowHeight="15" x14ac:dyDescent="0.25"/>
  <cols>
    <col min="1" max="1" width="50.7109375" style="1" customWidth="1"/>
    <col min="2" max="2" width="11.5703125" style="1" customWidth="1"/>
    <col min="3" max="4" width="7.7109375" style="1" customWidth="1"/>
    <col min="5" max="5" width="3.5703125" style="1" customWidth="1"/>
    <col min="6" max="7" width="7.7109375" style="1" customWidth="1"/>
    <col min="8" max="8" width="4" style="1" customWidth="1"/>
    <col min="9" max="10" width="6.7109375" style="1" customWidth="1"/>
    <col min="11" max="11" width="4" style="1" customWidth="1"/>
    <col min="12" max="13" width="7.7109375" style="1" customWidth="1"/>
    <col min="14" max="14" width="5.5703125" style="1" customWidth="1"/>
    <col min="15" max="16" width="7.7109375" style="1" customWidth="1"/>
    <col min="17" max="17" width="5.5703125" style="1" customWidth="1"/>
    <col min="18" max="18" width="6.5703125" style="1" bestFit="1" customWidth="1"/>
    <col min="19" max="19" width="7.85546875" style="1" bestFit="1" customWidth="1"/>
    <col min="20" max="20" width="5.5703125" style="1" customWidth="1"/>
    <col min="21" max="22" width="12.5703125" style="1" customWidth="1"/>
    <col min="23" max="23" width="3" style="1" customWidth="1"/>
    <col min="24" max="25" width="10.7109375" style="1" customWidth="1"/>
    <col min="26" max="26" width="5.7109375" style="1" bestFit="1" customWidth="1"/>
    <col min="27" max="28" width="8.140625" style="1" bestFit="1" customWidth="1"/>
    <col min="29" max="29" width="5.7109375" style="1" customWidth="1"/>
    <col min="30" max="31" width="7.140625" style="1" bestFit="1" customWidth="1"/>
    <col min="32" max="32" width="5.7109375" style="1" customWidth="1"/>
    <col min="33" max="34" width="6.7109375" style="1" bestFit="1" customWidth="1"/>
    <col min="35" max="35" width="5.7109375" style="1" customWidth="1"/>
    <col min="36" max="36" width="7.140625" style="1" bestFit="1" customWidth="1"/>
    <col min="37" max="37" width="6.140625" style="1" bestFit="1" customWidth="1"/>
    <col min="38" max="38" width="7.7109375" style="1" bestFit="1" customWidth="1"/>
    <col min="39" max="40" width="8" style="1" bestFit="1" customWidth="1"/>
    <col min="41" max="41" width="3.28515625" style="1" customWidth="1"/>
    <col min="42" max="42" width="5.140625" style="1" bestFit="1" customWidth="1"/>
    <col min="43" max="43" width="6.140625" style="1" bestFit="1" customWidth="1"/>
    <col min="44" max="44" width="5.140625" style="1" customWidth="1"/>
    <col min="45" max="46" width="6.5703125" style="1" bestFit="1" customWidth="1"/>
    <col min="47" max="47" width="5.140625" style="1" customWidth="1"/>
    <col min="48" max="48" width="8.85546875" style="1" customWidth="1"/>
    <col min="49" max="49" width="8" style="1" customWidth="1"/>
    <col min="50" max="50" width="5.42578125" style="1" customWidth="1"/>
    <col min="51" max="52" width="6.7109375" style="1" customWidth="1"/>
    <col min="53" max="53" width="5.42578125" style="1" customWidth="1"/>
    <col min="54" max="55" width="8" style="1" customWidth="1"/>
    <col min="56" max="56" width="6.140625" style="1" customWidth="1"/>
    <col min="57" max="58" width="8" style="1" bestFit="1" customWidth="1"/>
    <col min="59" max="62" width="6.140625" style="1" customWidth="1"/>
    <col min="63" max="64" width="8" style="1" customWidth="1"/>
    <col min="65" max="65" width="1.42578125" style="1" customWidth="1"/>
    <col min="66" max="67" width="8.7109375" style="1" customWidth="1"/>
    <col min="68" max="68" width="8.85546875" style="1" customWidth="1"/>
    <col min="69" max="16384" width="8.85546875" style="1"/>
  </cols>
  <sheetData>
    <row r="1" spans="1:61" ht="14.85" customHeight="1" thickBot="1" x14ac:dyDescent="0.3">
      <c r="A1" s="172" t="s">
        <v>90</v>
      </c>
      <c r="C1" s="171" t="s">
        <v>0</v>
      </c>
      <c r="D1" s="163">
        <v>7.7499999999999999E-2</v>
      </c>
      <c r="E1" s="38"/>
      <c r="F1" s="38"/>
      <c r="G1" s="91">
        <v>9.1999999999999998E-2</v>
      </c>
      <c r="H1" s="170" t="s">
        <v>1</v>
      </c>
      <c r="M1" s="91">
        <v>0.1</v>
      </c>
      <c r="X1" s="91">
        <v>0.5</v>
      </c>
      <c r="AL1" s="91">
        <v>0.1</v>
      </c>
      <c r="AM1" s="220"/>
      <c r="AN1" s="220"/>
    </row>
    <row r="2" spans="1:61" ht="45" customHeight="1" x14ac:dyDescent="0.25">
      <c r="B2" s="39"/>
      <c r="C2" s="217" t="s">
        <v>2</v>
      </c>
      <c r="D2" s="217"/>
      <c r="E2" s="90"/>
      <c r="F2" s="218" t="s">
        <v>3</v>
      </c>
      <c r="G2" s="218"/>
      <c r="H2" s="52"/>
      <c r="I2" s="212" t="s">
        <v>4</v>
      </c>
      <c r="J2" s="212"/>
      <c r="K2" s="52"/>
      <c r="L2" s="219" t="s">
        <v>5</v>
      </c>
      <c r="M2" s="219"/>
      <c r="N2" s="52"/>
      <c r="O2" s="219" t="s">
        <v>6</v>
      </c>
      <c r="P2" s="219"/>
      <c r="Q2" s="52"/>
      <c r="R2" s="219" t="s">
        <v>7</v>
      </c>
      <c r="S2" s="219"/>
      <c r="T2" s="52"/>
      <c r="U2" s="214" t="s">
        <v>8</v>
      </c>
      <c r="V2" s="214"/>
      <c r="W2" s="52"/>
      <c r="X2" s="211" t="s">
        <v>9</v>
      </c>
      <c r="Y2" s="211"/>
      <c r="AA2" s="215" t="s">
        <v>10</v>
      </c>
      <c r="AB2" s="215"/>
      <c r="AD2" s="211" t="s">
        <v>11</v>
      </c>
      <c r="AE2" s="211"/>
      <c r="AG2" s="211" t="s">
        <v>12</v>
      </c>
      <c r="AH2" s="211"/>
      <c r="AJ2" s="211" t="s">
        <v>13</v>
      </c>
      <c r="AK2" s="211"/>
      <c r="AM2" s="211" t="s">
        <v>14</v>
      </c>
      <c r="AN2" s="211"/>
      <c r="AP2" s="212" t="s">
        <v>15</v>
      </c>
      <c r="AQ2" s="212"/>
      <c r="AS2" s="219" t="s">
        <v>16</v>
      </c>
      <c r="AT2" s="219"/>
      <c r="AV2" s="213" t="s">
        <v>17</v>
      </c>
      <c r="AW2" s="213"/>
      <c r="AY2" s="213" t="s">
        <v>18</v>
      </c>
      <c r="AZ2" s="213"/>
      <c r="BB2" s="213" t="s">
        <v>19</v>
      </c>
      <c r="BC2" s="213"/>
    </row>
    <row r="3" spans="1:61" s="34" customFormat="1" x14ac:dyDescent="0.25">
      <c r="C3" s="54" t="s">
        <v>20</v>
      </c>
      <c r="D3" s="54" t="s">
        <v>21</v>
      </c>
      <c r="E3" s="54"/>
      <c r="F3" s="34" t="s">
        <v>20</v>
      </c>
      <c r="G3" s="54" t="s">
        <v>21</v>
      </c>
      <c r="I3" s="34" t="s">
        <v>20</v>
      </c>
      <c r="J3" s="54" t="s">
        <v>21</v>
      </c>
      <c r="L3" s="34" t="s">
        <v>20</v>
      </c>
      <c r="M3" s="54" t="s">
        <v>21</v>
      </c>
      <c r="O3" s="34" t="s">
        <v>20</v>
      </c>
      <c r="P3" s="54" t="s">
        <v>21</v>
      </c>
      <c r="R3" s="34" t="s">
        <v>20</v>
      </c>
      <c r="S3" s="54" t="s">
        <v>21</v>
      </c>
      <c r="U3" s="34" t="s">
        <v>20</v>
      </c>
      <c r="V3" s="34" t="s">
        <v>21</v>
      </c>
      <c r="X3" s="34" t="s">
        <v>20</v>
      </c>
      <c r="Y3" s="34" t="s">
        <v>21</v>
      </c>
      <c r="AA3" s="34" t="s">
        <v>20</v>
      </c>
      <c r="AB3" s="34" t="s">
        <v>21</v>
      </c>
      <c r="AD3" s="34" t="s">
        <v>20</v>
      </c>
      <c r="AE3" s="34" t="s">
        <v>21</v>
      </c>
      <c r="AG3" s="34" t="s">
        <v>20</v>
      </c>
      <c r="AH3" s="34" t="s">
        <v>21</v>
      </c>
      <c r="AJ3" s="34" t="s">
        <v>20</v>
      </c>
      <c r="AK3" s="34" t="s">
        <v>21</v>
      </c>
      <c r="AM3" s="34" t="s">
        <v>20</v>
      </c>
      <c r="AN3" s="34" t="s">
        <v>21</v>
      </c>
      <c r="AP3" s="34" t="s">
        <v>20</v>
      </c>
      <c r="AQ3" s="34" t="s">
        <v>21</v>
      </c>
      <c r="AS3" s="34" t="s">
        <v>20</v>
      </c>
      <c r="AT3" s="34" t="s">
        <v>21</v>
      </c>
      <c r="AV3" s="34" t="s">
        <v>20</v>
      </c>
      <c r="AW3" s="54" t="s">
        <v>21</v>
      </c>
      <c r="AY3" s="34" t="s">
        <v>20</v>
      </c>
      <c r="AZ3" s="54" t="s">
        <v>21</v>
      </c>
      <c r="BB3" s="34" t="s">
        <v>20</v>
      </c>
      <c r="BC3" s="54" t="s">
        <v>21</v>
      </c>
    </row>
    <row r="4" spans="1:61" x14ac:dyDescent="0.25">
      <c r="B4" s="32" t="s">
        <v>22</v>
      </c>
      <c r="C4" s="40"/>
      <c r="D4" s="40"/>
      <c r="E4" s="40"/>
      <c r="F4" s="40"/>
      <c r="L4" s="39"/>
      <c r="M4" s="41"/>
      <c r="AA4" s="39"/>
      <c r="AB4" s="39"/>
    </row>
    <row r="5" spans="1:61" x14ac:dyDescent="0.25">
      <c r="B5" s="25" t="s">
        <v>23</v>
      </c>
      <c r="C5" s="149">
        <v>8.4700000000000006</v>
      </c>
      <c r="D5" s="149">
        <v>12.42</v>
      </c>
      <c r="E5" s="41"/>
      <c r="F5" s="41">
        <f t="shared" ref="F5:G9" si="0">C5*SUM(1+$G$1/$X$1)</f>
        <v>10.02848</v>
      </c>
      <c r="G5" s="41">
        <f t="shared" si="0"/>
        <v>14.705279999999998</v>
      </c>
      <c r="H5" s="82"/>
      <c r="I5" s="41">
        <f>F5-C5</f>
        <v>1.5584799999999994</v>
      </c>
      <c r="J5" s="41">
        <f>G5-D5</f>
        <v>2.2852799999999984</v>
      </c>
      <c r="K5" s="82"/>
      <c r="L5" s="41">
        <f>ROUND(C5*(1+$G$1*2),2)*SUM(1+$M$1)</f>
        <v>11.032999999999999</v>
      </c>
      <c r="M5" s="41">
        <f t="shared" ref="L5:M9" si="1">ROUND(D5*(1+$G$1*2),2)*SUM(1+$M$1)</f>
        <v>16.181000000000001</v>
      </c>
      <c r="N5" s="82"/>
      <c r="O5" s="41">
        <f>L5-C5</f>
        <v>2.5629999999999988</v>
      </c>
      <c r="P5" s="41">
        <f>M5-D5</f>
        <v>3.761000000000001</v>
      </c>
      <c r="Q5" s="82"/>
      <c r="R5" s="76">
        <f t="shared" ref="R5:S9" si="2">AJ5/F5</f>
        <v>9.9716008806917902E-2</v>
      </c>
      <c r="S5" s="76">
        <f t="shared" si="2"/>
        <v>9.9964094529311931E-2</v>
      </c>
      <c r="T5" s="82"/>
      <c r="U5" s="41">
        <f t="shared" ref="U5:V9" si="3">SUM(C5/(1-$X$1))</f>
        <v>16.940000000000001</v>
      </c>
      <c r="V5" s="41">
        <f t="shared" si="3"/>
        <v>24.84</v>
      </c>
      <c r="W5" s="82"/>
      <c r="X5" s="41">
        <f>ROUND(C5/(1-$X$1)*1.2,2)</f>
        <v>20.329999999999998</v>
      </c>
      <c r="Y5" s="41">
        <f>ROUND(D5/(1-$X$1)*1.2,2)</f>
        <v>29.81</v>
      </c>
      <c r="AA5" s="182">
        <f>ROUNDDOWN(C5/(1-$X$1)*1.2,1)</f>
        <v>20.3</v>
      </c>
      <c r="AB5" s="182">
        <f>ROUNDDOWN(D5/(1-$X$1)*1.2,1)</f>
        <v>29.8</v>
      </c>
      <c r="AD5" s="40">
        <f>AA5/1.2</f>
        <v>16.916666666666668</v>
      </c>
      <c r="AE5" s="40">
        <f>AB5/1.2</f>
        <v>24.833333333333336</v>
      </c>
      <c r="AG5" s="40">
        <f>X5-AA5</f>
        <v>2.9999999999997584E-2</v>
      </c>
      <c r="AH5" s="40">
        <f>Y5-AB5</f>
        <v>9.9999999999980105E-3</v>
      </c>
      <c r="AJ5" s="40">
        <f t="shared" ref="AJ5:AK9" si="4">ROUND(L5*(1-(1/(1+$AL$1))),2)</f>
        <v>1</v>
      </c>
      <c r="AK5" s="40">
        <f t="shared" si="4"/>
        <v>1.47</v>
      </c>
      <c r="AL5" s="40"/>
      <c r="AM5" s="180">
        <f>SUM(U5-F5)-AG5</f>
        <v>6.8815200000000036</v>
      </c>
      <c r="AN5" s="180">
        <f>SUM(V5-G5)-AH5</f>
        <v>10.124720000000003</v>
      </c>
      <c r="AP5" s="76">
        <f t="shared" ref="AP5:AQ9" si="5">(SUM(F5-C5)/C5)*$X$1</f>
        <v>9.1999999999999957E-2</v>
      </c>
      <c r="AQ5" s="76">
        <f t="shared" si="5"/>
        <v>9.1999999999999943E-2</v>
      </c>
      <c r="AS5" s="76">
        <f t="shared" ref="AS5:AT9" si="6">AM5/U5</f>
        <v>0.40622904368358931</v>
      </c>
      <c r="AT5" s="76">
        <f t="shared" si="6"/>
        <v>0.40759742351046713</v>
      </c>
      <c r="AU5" s="40"/>
      <c r="AV5" s="76">
        <f t="shared" ref="AV5:AW9" si="7">C5/U5</f>
        <v>0.5</v>
      </c>
      <c r="AW5" s="76">
        <f t="shared" si="7"/>
        <v>0.5</v>
      </c>
      <c r="AX5" s="42"/>
      <c r="AY5" s="42">
        <f t="shared" ref="AY5:AZ9" si="8">I5+AM5</f>
        <v>8.4400000000000031</v>
      </c>
      <c r="AZ5" s="42">
        <f t="shared" si="8"/>
        <v>12.410000000000002</v>
      </c>
      <c r="BA5" s="42"/>
      <c r="BB5" s="76">
        <f t="shared" ref="BB5:BC9" si="9">AY5/(C5/$X$1)</f>
        <v>0.49822904368358928</v>
      </c>
      <c r="BC5" s="76">
        <f t="shared" si="9"/>
        <v>0.49959742351046704</v>
      </c>
      <c r="BE5" s="40"/>
      <c r="BF5" s="40"/>
      <c r="BG5" s="40"/>
      <c r="BH5" s="40"/>
      <c r="BI5" s="76"/>
    </row>
    <row r="6" spans="1:61" x14ac:dyDescent="0.25">
      <c r="B6" s="25" t="s">
        <v>24</v>
      </c>
      <c r="C6" s="149">
        <v>8.86</v>
      </c>
      <c r="D6" s="149">
        <v>13.01</v>
      </c>
      <c r="E6" s="41"/>
      <c r="F6" s="41">
        <f t="shared" si="0"/>
        <v>10.490239999999998</v>
      </c>
      <c r="G6" s="41">
        <f t="shared" si="0"/>
        <v>15.403839999999999</v>
      </c>
      <c r="H6" s="82"/>
      <c r="I6" s="41">
        <f t="shared" ref="I6:J9" si="10">F6-C6</f>
        <v>1.6302399999999988</v>
      </c>
      <c r="J6" s="41">
        <f t="shared" si="10"/>
        <v>2.3938399999999991</v>
      </c>
      <c r="K6" s="82"/>
      <c r="L6" s="41">
        <f t="shared" si="1"/>
        <v>11.539000000000001</v>
      </c>
      <c r="M6" s="41">
        <f t="shared" si="1"/>
        <v>16.940000000000001</v>
      </c>
      <c r="N6" s="82"/>
      <c r="O6" s="41">
        <f t="shared" ref="O6:P9" si="11">L6-C6</f>
        <v>2.679000000000002</v>
      </c>
      <c r="P6" s="41">
        <f t="shared" si="11"/>
        <v>3.9300000000000015</v>
      </c>
      <c r="Q6" s="82"/>
      <c r="R6" s="76">
        <f t="shared" si="2"/>
        <v>0.10009303886279057</v>
      </c>
      <c r="S6" s="76">
        <f t="shared" si="2"/>
        <v>9.9975071151089612E-2</v>
      </c>
      <c r="T6" s="82"/>
      <c r="U6" s="41">
        <f t="shared" si="3"/>
        <v>17.72</v>
      </c>
      <c r="V6" s="41">
        <f t="shared" si="3"/>
        <v>26.02</v>
      </c>
      <c r="W6" s="82"/>
      <c r="X6" s="41">
        <f t="shared" ref="X6:Y9" si="12">ROUND(C6/(1-$X$1)*1.2,2)</f>
        <v>21.26</v>
      </c>
      <c r="Y6" s="41">
        <f t="shared" si="12"/>
        <v>31.22</v>
      </c>
      <c r="AA6" s="182">
        <f t="shared" ref="AA6:AB9" si="13">ROUNDDOWN(C6/(1-$X$1)*1.2,1)</f>
        <v>21.2</v>
      </c>
      <c r="AB6" s="182">
        <f t="shared" si="13"/>
        <v>31.2</v>
      </c>
      <c r="AD6" s="40">
        <f t="shared" ref="AD6:AE9" si="14">AA6/1.2</f>
        <v>17.666666666666668</v>
      </c>
      <c r="AE6" s="40">
        <f t="shared" si="14"/>
        <v>26</v>
      </c>
      <c r="AG6" s="40">
        <f t="shared" ref="AG6:AH9" si="15">X6-AA6</f>
        <v>6.0000000000002274E-2</v>
      </c>
      <c r="AH6" s="40">
        <f t="shared" si="15"/>
        <v>1.9999999999999574E-2</v>
      </c>
      <c r="AJ6" s="40">
        <f t="shared" si="4"/>
        <v>1.05</v>
      </c>
      <c r="AK6" s="40">
        <f t="shared" si="4"/>
        <v>1.54</v>
      </c>
      <c r="AL6" s="40"/>
      <c r="AM6" s="180">
        <f t="shared" ref="AM6:AM9" si="16">SUM(U6-F6)-AG6</f>
        <v>7.1697599999999984</v>
      </c>
      <c r="AN6" s="180">
        <f t="shared" ref="AN6:AN9" si="17">SUM(V6-G6)-AH6</f>
        <v>10.596160000000001</v>
      </c>
      <c r="AP6" s="76">
        <f t="shared" si="5"/>
        <v>9.1999999999999943E-2</v>
      </c>
      <c r="AQ6" s="76">
        <f t="shared" si="5"/>
        <v>9.1999999999999971E-2</v>
      </c>
      <c r="AS6" s="76">
        <f t="shared" si="6"/>
        <v>0.40461399548532723</v>
      </c>
      <c r="AT6" s="76">
        <f t="shared" si="6"/>
        <v>0.40723136049192932</v>
      </c>
      <c r="AV6" s="76">
        <f t="shared" si="7"/>
        <v>0.5</v>
      </c>
      <c r="AW6" s="76">
        <f t="shared" si="7"/>
        <v>0.5</v>
      </c>
      <c r="AX6" s="42"/>
      <c r="AY6" s="42">
        <f t="shared" si="8"/>
        <v>8.7999999999999972</v>
      </c>
      <c r="AZ6" s="42">
        <f t="shared" si="8"/>
        <v>12.99</v>
      </c>
      <c r="BA6" s="42"/>
      <c r="BB6" s="76">
        <f t="shared" si="9"/>
        <v>0.4966139954853272</v>
      </c>
      <c r="BC6" s="76">
        <f t="shared" si="9"/>
        <v>0.49923136049192929</v>
      </c>
    </row>
    <row r="7" spans="1:61" x14ac:dyDescent="0.25">
      <c r="B7" s="25" t="s">
        <v>25</v>
      </c>
      <c r="C7" s="149">
        <v>9.67</v>
      </c>
      <c r="D7" s="149">
        <v>14.26</v>
      </c>
      <c r="E7" s="41"/>
      <c r="F7" s="41">
        <f t="shared" si="0"/>
        <v>11.44928</v>
      </c>
      <c r="G7" s="41">
        <f t="shared" si="0"/>
        <v>16.883839999999999</v>
      </c>
      <c r="H7" s="82"/>
      <c r="I7" s="41">
        <f t="shared" si="10"/>
        <v>1.77928</v>
      </c>
      <c r="J7" s="41">
        <f t="shared" si="10"/>
        <v>2.6238399999999995</v>
      </c>
      <c r="K7" s="82"/>
      <c r="L7" s="41">
        <f t="shared" si="1"/>
        <v>12.595000000000001</v>
      </c>
      <c r="M7" s="41">
        <f t="shared" si="1"/>
        <v>18.568000000000001</v>
      </c>
      <c r="N7" s="82"/>
      <c r="O7" s="41">
        <f t="shared" si="11"/>
        <v>2.9250000000000007</v>
      </c>
      <c r="P7" s="41">
        <f t="shared" si="11"/>
        <v>4.3080000000000016</v>
      </c>
      <c r="Q7" s="82"/>
      <c r="R7" s="76">
        <f t="shared" si="2"/>
        <v>0.10044299728891248</v>
      </c>
      <c r="S7" s="76">
        <f t="shared" si="2"/>
        <v>0.10009571282362306</v>
      </c>
      <c r="T7" s="82"/>
      <c r="U7" s="41">
        <f t="shared" si="3"/>
        <v>19.34</v>
      </c>
      <c r="V7" s="41">
        <f t="shared" si="3"/>
        <v>28.52</v>
      </c>
      <c r="W7" s="82"/>
      <c r="X7" s="41">
        <f t="shared" si="12"/>
        <v>23.21</v>
      </c>
      <c r="Y7" s="41">
        <f t="shared" si="12"/>
        <v>34.22</v>
      </c>
      <c r="AA7" s="182">
        <f t="shared" si="13"/>
        <v>23.2</v>
      </c>
      <c r="AB7" s="182">
        <f t="shared" si="13"/>
        <v>34.200000000000003</v>
      </c>
      <c r="AD7" s="40">
        <f t="shared" si="14"/>
        <v>19.333333333333332</v>
      </c>
      <c r="AE7" s="40">
        <f t="shared" si="14"/>
        <v>28.500000000000004</v>
      </c>
      <c r="AG7" s="40">
        <f t="shared" si="15"/>
        <v>1.0000000000001563E-2</v>
      </c>
      <c r="AH7" s="40">
        <f t="shared" si="15"/>
        <v>1.9999999999996021E-2</v>
      </c>
      <c r="AJ7" s="40">
        <f t="shared" si="4"/>
        <v>1.1499999999999999</v>
      </c>
      <c r="AK7" s="40">
        <f t="shared" si="4"/>
        <v>1.69</v>
      </c>
      <c r="AL7" s="40"/>
      <c r="AM7" s="180">
        <f t="shared" si="16"/>
        <v>7.8807199999999984</v>
      </c>
      <c r="AN7" s="180">
        <f t="shared" si="17"/>
        <v>11.616160000000004</v>
      </c>
      <c r="AP7" s="76">
        <f t="shared" si="5"/>
        <v>9.1999999999999998E-2</v>
      </c>
      <c r="AQ7" s="76">
        <f t="shared" si="5"/>
        <v>9.1999999999999985E-2</v>
      </c>
      <c r="AS7" s="76">
        <f t="shared" si="6"/>
        <v>0.40748293691830395</v>
      </c>
      <c r="AT7" s="76">
        <f t="shared" si="6"/>
        <v>0.40729873772791042</v>
      </c>
      <c r="AV7" s="76">
        <f t="shared" si="7"/>
        <v>0.5</v>
      </c>
      <c r="AW7" s="76">
        <f t="shared" si="7"/>
        <v>0.5</v>
      </c>
      <c r="AX7" s="42"/>
      <c r="AY7" s="42">
        <f t="shared" si="8"/>
        <v>9.6599999999999984</v>
      </c>
      <c r="AZ7" s="42">
        <f t="shared" si="8"/>
        <v>14.240000000000004</v>
      </c>
      <c r="BA7" s="42"/>
      <c r="BB7" s="76">
        <f t="shared" si="9"/>
        <v>0.49948293691830398</v>
      </c>
      <c r="BC7" s="76">
        <f t="shared" si="9"/>
        <v>0.49929873772791039</v>
      </c>
    </row>
    <row r="8" spans="1:61" x14ac:dyDescent="0.25">
      <c r="B8" s="25" t="s">
        <v>26</v>
      </c>
      <c r="C8" s="149">
        <v>10.56</v>
      </c>
      <c r="D8" s="149">
        <v>15.59</v>
      </c>
      <c r="E8" s="41"/>
      <c r="F8" s="41">
        <f t="shared" si="0"/>
        <v>12.50304</v>
      </c>
      <c r="G8" s="41">
        <f t="shared" si="0"/>
        <v>18.458559999999999</v>
      </c>
      <c r="H8" s="82"/>
      <c r="I8" s="41">
        <f t="shared" si="10"/>
        <v>1.9430399999999999</v>
      </c>
      <c r="J8" s="41">
        <f t="shared" si="10"/>
        <v>2.8685599999999987</v>
      </c>
      <c r="K8" s="82"/>
      <c r="L8" s="41">
        <f t="shared" si="1"/>
        <v>13.750000000000002</v>
      </c>
      <c r="M8" s="41">
        <f t="shared" si="1"/>
        <v>20.306000000000001</v>
      </c>
      <c r="N8" s="82"/>
      <c r="O8" s="41">
        <f t="shared" si="11"/>
        <v>3.1900000000000013</v>
      </c>
      <c r="P8" s="41">
        <f t="shared" si="11"/>
        <v>4.7160000000000011</v>
      </c>
      <c r="Q8" s="82"/>
      <c r="R8" s="76">
        <f t="shared" si="2"/>
        <v>9.997568591318591E-2</v>
      </c>
      <c r="S8" s="76">
        <f t="shared" si="2"/>
        <v>0.1002245028864657</v>
      </c>
      <c r="T8" s="82"/>
      <c r="U8" s="41">
        <f t="shared" si="3"/>
        <v>21.12</v>
      </c>
      <c r="V8" s="41">
        <f t="shared" si="3"/>
        <v>31.18</v>
      </c>
      <c r="W8" s="82"/>
      <c r="X8" s="41">
        <f t="shared" si="12"/>
        <v>25.34</v>
      </c>
      <c r="Y8" s="41">
        <f t="shared" si="12"/>
        <v>37.42</v>
      </c>
      <c r="AA8" s="182">
        <f t="shared" si="13"/>
        <v>25.3</v>
      </c>
      <c r="AB8" s="182">
        <f t="shared" si="13"/>
        <v>37.4</v>
      </c>
      <c r="AD8" s="40">
        <f t="shared" si="14"/>
        <v>21.083333333333336</v>
      </c>
      <c r="AE8" s="40">
        <f t="shared" si="14"/>
        <v>31.166666666666668</v>
      </c>
      <c r="AG8" s="40">
        <f t="shared" si="15"/>
        <v>3.9999999999999147E-2</v>
      </c>
      <c r="AH8" s="40">
        <f t="shared" si="15"/>
        <v>2.0000000000003126E-2</v>
      </c>
      <c r="AJ8" s="40">
        <f t="shared" si="4"/>
        <v>1.25</v>
      </c>
      <c r="AK8" s="40">
        <f t="shared" si="4"/>
        <v>1.85</v>
      </c>
      <c r="AL8" s="40"/>
      <c r="AM8" s="180">
        <f t="shared" si="16"/>
        <v>8.5769600000000015</v>
      </c>
      <c r="AN8" s="180">
        <f t="shared" si="17"/>
        <v>12.701439999999998</v>
      </c>
      <c r="AP8" s="76">
        <f t="shared" si="5"/>
        <v>9.1999999999999985E-2</v>
      </c>
      <c r="AQ8" s="76">
        <f t="shared" si="5"/>
        <v>9.1999999999999957E-2</v>
      </c>
      <c r="AS8" s="76">
        <f t="shared" si="6"/>
        <v>0.40610606060606064</v>
      </c>
      <c r="AT8" s="76">
        <f t="shared" si="6"/>
        <v>0.40735856318152658</v>
      </c>
      <c r="AV8" s="76">
        <f t="shared" si="7"/>
        <v>0.5</v>
      </c>
      <c r="AW8" s="76">
        <f t="shared" si="7"/>
        <v>0.5</v>
      </c>
      <c r="AX8" s="42"/>
      <c r="AY8" s="42">
        <f t="shared" si="8"/>
        <v>10.520000000000001</v>
      </c>
      <c r="AZ8" s="42">
        <f t="shared" si="8"/>
        <v>15.569999999999997</v>
      </c>
      <c r="BA8" s="42"/>
      <c r="BB8" s="76">
        <f t="shared" si="9"/>
        <v>0.49810606060606066</v>
      </c>
      <c r="BC8" s="76">
        <f t="shared" si="9"/>
        <v>0.49935856318152649</v>
      </c>
    </row>
    <row r="9" spans="1:61" x14ac:dyDescent="0.25">
      <c r="B9" s="25" t="s">
        <v>27</v>
      </c>
      <c r="C9" s="149">
        <v>10.58</v>
      </c>
      <c r="D9" s="149">
        <v>15.6</v>
      </c>
      <c r="E9" s="41"/>
      <c r="F9" s="41">
        <f t="shared" si="0"/>
        <v>12.526719999999999</v>
      </c>
      <c r="G9" s="41">
        <f t="shared" si="0"/>
        <v>18.470399999999998</v>
      </c>
      <c r="H9" s="82"/>
      <c r="I9" s="41">
        <f t="shared" si="10"/>
        <v>1.9467199999999991</v>
      </c>
      <c r="J9" s="41">
        <f t="shared" si="10"/>
        <v>2.8703999999999983</v>
      </c>
      <c r="K9" s="82"/>
      <c r="L9" s="41">
        <f t="shared" si="1"/>
        <v>13.783000000000001</v>
      </c>
      <c r="M9" s="41">
        <f t="shared" si="1"/>
        <v>20.317</v>
      </c>
      <c r="N9" s="82"/>
      <c r="O9" s="41">
        <f t="shared" si="11"/>
        <v>3.2030000000000012</v>
      </c>
      <c r="P9" s="41">
        <f t="shared" si="11"/>
        <v>4.7170000000000005</v>
      </c>
      <c r="Q9" s="82"/>
      <c r="R9" s="76">
        <f t="shared" si="2"/>
        <v>9.9786695958718655E-2</v>
      </c>
      <c r="S9" s="76">
        <f t="shared" si="2"/>
        <v>0.10016025641025643</v>
      </c>
      <c r="T9" s="82"/>
      <c r="U9" s="41">
        <f t="shared" si="3"/>
        <v>21.16</v>
      </c>
      <c r="V9" s="41">
        <f t="shared" si="3"/>
        <v>31.2</v>
      </c>
      <c r="W9" s="82"/>
      <c r="X9" s="41">
        <f t="shared" si="12"/>
        <v>25.39</v>
      </c>
      <c r="Y9" s="41">
        <f t="shared" si="12"/>
        <v>37.44</v>
      </c>
      <c r="AA9" s="182">
        <f t="shared" si="13"/>
        <v>25.3</v>
      </c>
      <c r="AB9" s="182">
        <f t="shared" si="13"/>
        <v>37.4</v>
      </c>
      <c r="AD9" s="40">
        <f t="shared" si="14"/>
        <v>21.083333333333336</v>
      </c>
      <c r="AE9" s="40">
        <f t="shared" si="14"/>
        <v>31.166666666666668</v>
      </c>
      <c r="AG9" s="40">
        <f t="shared" si="15"/>
        <v>8.9999999999999858E-2</v>
      </c>
      <c r="AH9" s="40">
        <f t="shared" si="15"/>
        <v>3.9999999999999147E-2</v>
      </c>
      <c r="AJ9" s="40">
        <f t="shared" si="4"/>
        <v>1.25</v>
      </c>
      <c r="AK9" s="40">
        <f t="shared" si="4"/>
        <v>1.85</v>
      </c>
      <c r="AL9" s="40"/>
      <c r="AM9" s="180">
        <f t="shared" si="16"/>
        <v>8.5432800000000011</v>
      </c>
      <c r="AN9" s="180">
        <f t="shared" si="17"/>
        <v>12.689600000000002</v>
      </c>
      <c r="AP9" s="76">
        <f t="shared" si="5"/>
        <v>9.1999999999999957E-2</v>
      </c>
      <c r="AQ9" s="76">
        <f t="shared" si="5"/>
        <v>9.1999999999999943E-2</v>
      </c>
      <c r="AS9" s="76">
        <f t="shared" si="6"/>
        <v>0.40374669187145562</v>
      </c>
      <c r="AT9" s="76">
        <f t="shared" si="6"/>
        <v>0.40671794871794881</v>
      </c>
      <c r="AV9" s="76">
        <f t="shared" si="7"/>
        <v>0.5</v>
      </c>
      <c r="AW9" s="76">
        <f t="shared" si="7"/>
        <v>0.5</v>
      </c>
      <c r="AX9" s="42"/>
      <c r="AY9" s="42">
        <f t="shared" si="8"/>
        <v>10.49</v>
      </c>
      <c r="AZ9" s="42">
        <f t="shared" si="8"/>
        <v>15.56</v>
      </c>
      <c r="BA9" s="42"/>
      <c r="BB9" s="76">
        <f t="shared" si="9"/>
        <v>0.49574669187145559</v>
      </c>
      <c r="BC9" s="76">
        <f t="shared" si="9"/>
        <v>0.49871794871794872</v>
      </c>
    </row>
    <row r="10" spans="1:61" x14ac:dyDescent="0.25">
      <c r="B10" s="25"/>
      <c r="C10" s="41"/>
      <c r="D10" s="41"/>
      <c r="E10" s="41"/>
      <c r="F10" s="41"/>
      <c r="G10" s="41"/>
      <c r="H10" s="4"/>
      <c r="I10" s="4"/>
      <c r="J10" s="4"/>
      <c r="K10" s="4"/>
      <c r="L10" s="41"/>
      <c r="M10" s="41"/>
      <c r="N10" s="4"/>
      <c r="O10" s="4"/>
      <c r="P10" s="4"/>
      <c r="Q10" s="4"/>
      <c r="R10" s="78"/>
      <c r="T10" s="4"/>
      <c r="U10" s="4"/>
      <c r="V10" s="4"/>
      <c r="W10" s="4"/>
      <c r="AJ10" s="40"/>
      <c r="AK10" s="40"/>
      <c r="AL10" s="40"/>
      <c r="AS10" s="103"/>
      <c r="AT10" s="103"/>
      <c r="AV10" s="40"/>
      <c r="AW10" s="40"/>
      <c r="BB10" s="77"/>
      <c r="BC10" s="77"/>
    </row>
    <row r="11" spans="1:61" x14ac:dyDescent="0.25">
      <c r="B11" s="32" t="s">
        <v>28</v>
      </c>
      <c r="C11" s="41"/>
      <c r="D11" s="41"/>
      <c r="E11" s="41"/>
      <c r="F11" s="41"/>
      <c r="G11" s="41"/>
      <c r="H11" s="4"/>
      <c r="I11" s="4"/>
      <c r="J11" s="4"/>
      <c r="K11" s="4"/>
      <c r="L11" s="41"/>
      <c r="M11" s="41"/>
      <c r="N11" s="4"/>
      <c r="O11" s="4"/>
      <c r="P11" s="4"/>
      <c r="Q11" s="4"/>
      <c r="R11" s="78"/>
      <c r="T11" s="4"/>
      <c r="U11" s="4"/>
      <c r="V11" s="4"/>
      <c r="W11" s="4"/>
      <c r="AJ11" s="40"/>
      <c r="AK11" s="40"/>
      <c r="AL11" s="40"/>
      <c r="AS11" s="103"/>
      <c r="AT11" s="103"/>
      <c r="AV11" s="40"/>
      <c r="AW11" s="40"/>
      <c r="BB11" s="77"/>
      <c r="BC11" s="77"/>
    </row>
    <row r="12" spans="1:61" x14ac:dyDescent="0.25">
      <c r="B12" s="25" t="s">
        <v>23</v>
      </c>
      <c r="C12" s="149">
        <v>10.44</v>
      </c>
      <c r="D12" s="149">
        <v>16.559999999999999</v>
      </c>
      <c r="E12" s="41"/>
      <c r="F12" s="41">
        <f t="shared" ref="F12:G17" si="18">C12*SUM(1+$G$1/$X$1)</f>
        <v>12.360959999999999</v>
      </c>
      <c r="G12" s="41">
        <f t="shared" si="18"/>
        <v>19.607039999999998</v>
      </c>
      <c r="H12" s="82"/>
      <c r="I12" s="41">
        <f t="shared" ref="I12:J17" si="19">F12-C12</f>
        <v>1.9209599999999991</v>
      </c>
      <c r="J12" s="41">
        <f t="shared" si="19"/>
        <v>3.0470399999999991</v>
      </c>
      <c r="K12" s="82"/>
      <c r="L12" s="41">
        <f t="shared" ref="L12:M17" si="20">ROUND(C12*(1+$G$1*2),2)*SUM(1+$M$1)</f>
        <v>13.596</v>
      </c>
      <c r="M12" s="41">
        <f t="shared" si="20"/>
        <v>21.571000000000002</v>
      </c>
      <c r="N12" s="82"/>
      <c r="O12" s="41">
        <f t="shared" ref="O12:P17" si="21">L12-C12</f>
        <v>3.1560000000000006</v>
      </c>
      <c r="P12" s="41">
        <f t="shared" si="21"/>
        <v>5.0110000000000028</v>
      </c>
      <c r="Q12" s="82"/>
      <c r="R12" s="76">
        <f t="shared" ref="R12:S17" si="22">AJ12/F12</f>
        <v>0.10031583307445377</v>
      </c>
      <c r="S12" s="76">
        <f t="shared" si="22"/>
        <v>9.9964094529311931E-2</v>
      </c>
      <c r="T12" s="82"/>
      <c r="U12" s="41">
        <f t="shared" ref="U12:V17" si="23">SUM(C12/(1-$X$1))</f>
        <v>20.88</v>
      </c>
      <c r="V12" s="41">
        <f t="shared" si="23"/>
        <v>33.119999999999997</v>
      </c>
      <c r="W12" s="82"/>
      <c r="X12" s="41">
        <f t="shared" ref="X12:Y17" si="24">ROUND(C12/(1-$X$1)*1.2,2)</f>
        <v>25.06</v>
      </c>
      <c r="Y12" s="41">
        <f t="shared" si="24"/>
        <v>39.74</v>
      </c>
      <c r="AA12" s="182">
        <f>ROUNDDOWN(C12/(1-$X$1)*1.2,1)</f>
        <v>25</v>
      </c>
      <c r="AB12" s="182">
        <f>ROUNDDOWN(D12/(1-$X$1)*1.2,1)</f>
        <v>39.700000000000003</v>
      </c>
      <c r="AD12" s="40">
        <f t="shared" ref="AD12:AE17" si="25">AA12/1.2</f>
        <v>20.833333333333336</v>
      </c>
      <c r="AE12" s="40">
        <f t="shared" si="25"/>
        <v>33.083333333333336</v>
      </c>
      <c r="AG12" s="40">
        <f>X12-AA12</f>
        <v>5.9999999999998721E-2</v>
      </c>
      <c r="AH12" s="40">
        <f>Y12-AB12</f>
        <v>3.9999999999999147E-2</v>
      </c>
      <c r="AJ12" s="40">
        <f t="shared" ref="AJ12:AK17" si="26">ROUND(L12*(1-(1/(1+$AL$1))),2)</f>
        <v>1.24</v>
      </c>
      <c r="AK12" s="40">
        <f t="shared" si="26"/>
        <v>1.96</v>
      </c>
      <c r="AL12" s="40"/>
      <c r="AM12" s="180">
        <f>SUM(U12-F12)-AG12</f>
        <v>8.4590400000000017</v>
      </c>
      <c r="AN12" s="180">
        <f>SUM(V12-G12)-AH12</f>
        <v>13.47296</v>
      </c>
      <c r="AP12" s="76">
        <f t="shared" ref="AP12:AQ17" si="27">(SUM(F12-C12)/C12)*$X$1</f>
        <v>9.1999999999999957E-2</v>
      </c>
      <c r="AQ12" s="76">
        <f t="shared" si="27"/>
        <v>9.1999999999999985E-2</v>
      </c>
      <c r="AS12" s="76">
        <f t="shared" ref="AS12:AT17" si="28">AM12/U12</f>
        <v>0.40512643678160931</v>
      </c>
      <c r="AT12" s="76">
        <f t="shared" si="28"/>
        <v>0.40679227053140099</v>
      </c>
      <c r="AV12" s="76">
        <f t="shared" ref="AV12:AW17" si="29">C12/U12</f>
        <v>0.5</v>
      </c>
      <c r="AW12" s="76">
        <f t="shared" si="29"/>
        <v>0.5</v>
      </c>
      <c r="AX12" s="42"/>
      <c r="AY12" s="42">
        <f t="shared" ref="AY12:AZ17" si="30">I12+AM12</f>
        <v>10.38</v>
      </c>
      <c r="AZ12" s="42">
        <f t="shared" si="30"/>
        <v>16.52</v>
      </c>
      <c r="BA12" s="42"/>
      <c r="BB12" s="76">
        <f t="shared" ref="BB12:BC17" si="31">AY12/(C12/$X$1)</f>
        <v>0.49712643678160928</v>
      </c>
      <c r="BC12" s="76">
        <f t="shared" si="31"/>
        <v>0.49879227053140102</v>
      </c>
    </row>
    <row r="13" spans="1:61" x14ac:dyDescent="0.25">
      <c r="B13" s="25" t="s">
        <v>24</v>
      </c>
      <c r="C13" s="149">
        <v>13.16</v>
      </c>
      <c r="D13" s="149">
        <v>19.61</v>
      </c>
      <c r="E13" s="41"/>
      <c r="F13" s="41">
        <f t="shared" si="18"/>
        <v>15.581439999999999</v>
      </c>
      <c r="G13" s="41">
        <f t="shared" si="18"/>
        <v>23.218239999999998</v>
      </c>
      <c r="H13" s="82"/>
      <c r="I13" s="41">
        <f t="shared" si="19"/>
        <v>2.4214399999999987</v>
      </c>
      <c r="J13" s="41">
        <f t="shared" si="19"/>
        <v>3.6082399999999986</v>
      </c>
      <c r="K13" s="82"/>
      <c r="L13" s="41">
        <f t="shared" si="20"/>
        <v>17.138000000000002</v>
      </c>
      <c r="M13" s="41">
        <f t="shared" si="20"/>
        <v>25.542000000000002</v>
      </c>
      <c r="N13" s="82"/>
      <c r="O13" s="41">
        <f t="shared" si="21"/>
        <v>3.9780000000000015</v>
      </c>
      <c r="P13" s="41">
        <f t="shared" si="21"/>
        <v>5.9320000000000022</v>
      </c>
      <c r="Q13" s="82"/>
      <c r="R13" s="76">
        <f t="shared" si="22"/>
        <v>0.10011911607656289</v>
      </c>
      <c r="S13" s="76">
        <f t="shared" si="22"/>
        <v>9.9921441073914305E-2</v>
      </c>
      <c r="T13" s="82"/>
      <c r="U13" s="41">
        <f t="shared" si="23"/>
        <v>26.32</v>
      </c>
      <c r="V13" s="41">
        <f t="shared" si="23"/>
        <v>39.22</v>
      </c>
      <c r="W13" s="82"/>
      <c r="X13" s="41">
        <f t="shared" si="24"/>
        <v>31.58</v>
      </c>
      <c r="Y13" s="41">
        <f t="shared" si="24"/>
        <v>47.06</v>
      </c>
      <c r="AA13" s="182">
        <f t="shared" ref="AA13:AB16" si="32">ROUNDDOWN(C13/(1-$X$1)*1.2,1)</f>
        <v>31.5</v>
      </c>
      <c r="AB13" s="182">
        <f t="shared" si="32"/>
        <v>47</v>
      </c>
      <c r="AD13" s="40">
        <f t="shared" si="25"/>
        <v>26.25</v>
      </c>
      <c r="AE13" s="40">
        <f t="shared" si="25"/>
        <v>39.166666666666671</v>
      </c>
      <c r="AG13" s="40">
        <f t="shared" ref="AG13:AH17" si="33">X13-AA13</f>
        <v>7.9999999999998295E-2</v>
      </c>
      <c r="AH13" s="40">
        <f t="shared" si="33"/>
        <v>6.0000000000002274E-2</v>
      </c>
      <c r="AJ13" s="40">
        <f t="shared" si="26"/>
        <v>1.56</v>
      </c>
      <c r="AK13" s="40">
        <f t="shared" si="26"/>
        <v>2.3199999999999998</v>
      </c>
      <c r="AL13" s="40"/>
      <c r="AM13" s="180">
        <f t="shared" ref="AM13:AM17" si="34">SUM(U13-F13)-AG13</f>
        <v>10.658560000000003</v>
      </c>
      <c r="AN13" s="180">
        <f t="shared" ref="AN13:AN17" si="35">SUM(V13-G13)-AH13</f>
        <v>15.941759999999999</v>
      </c>
      <c r="AP13" s="76">
        <f t="shared" si="27"/>
        <v>9.1999999999999943E-2</v>
      </c>
      <c r="AQ13" s="76">
        <f t="shared" si="27"/>
        <v>9.1999999999999971E-2</v>
      </c>
      <c r="AS13" s="76">
        <f t="shared" si="28"/>
        <v>0.40496048632218856</v>
      </c>
      <c r="AT13" s="76">
        <f t="shared" si="28"/>
        <v>0.40647016828148902</v>
      </c>
      <c r="AV13" s="76">
        <f t="shared" si="29"/>
        <v>0.5</v>
      </c>
      <c r="AW13" s="76">
        <f t="shared" si="29"/>
        <v>0.5</v>
      </c>
      <c r="AX13" s="42"/>
      <c r="AY13" s="42">
        <f t="shared" si="30"/>
        <v>13.080000000000002</v>
      </c>
      <c r="AZ13" s="42">
        <f t="shared" si="30"/>
        <v>19.549999999999997</v>
      </c>
      <c r="BA13" s="42"/>
      <c r="BB13" s="76">
        <f t="shared" si="31"/>
        <v>0.49696048632218853</v>
      </c>
      <c r="BC13" s="76">
        <f t="shared" si="31"/>
        <v>0.49847016828148899</v>
      </c>
    </row>
    <row r="14" spans="1:61" x14ac:dyDescent="0.25">
      <c r="B14" s="25" t="s">
        <v>25</v>
      </c>
      <c r="C14" s="149">
        <v>15.3</v>
      </c>
      <c r="D14" s="149">
        <v>21.88</v>
      </c>
      <c r="E14" s="41"/>
      <c r="F14" s="41">
        <f t="shared" si="18"/>
        <v>18.115200000000002</v>
      </c>
      <c r="G14" s="41">
        <f t="shared" si="18"/>
        <v>25.905919999999998</v>
      </c>
      <c r="H14" s="82"/>
      <c r="I14" s="41">
        <f t="shared" si="19"/>
        <v>2.8152000000000008</v>
      </c>
      <c r="J14" s="41">
        <f t="shared" si="19"/>
        <v>4.0259199999999993</v>
      </c>
      <c r="K14" s="82"/>
      <c r="L14" s="41">
        <f t="shared" si="20"/>
        <v>19.932000000000002</v>
      </c>
      <c r="M14" s="41">
        <f t="shared" si="20"/>
        <v>28.501000000000001</v>
      </c>
      <c r="N14" s="82"/>
      <c r="O14" s="41">
        <f t="shared" si="21"/>
        <v>4.6320000000000014</v>
      </c>
      <c r="P14" s="41">
        <f t="shared" si="21"/>
        <v>6.6210000000000022</v>
      </c>
      <c r="Q14" s="82"/>
      <c r="R14" s="76">
        <f t="shared" si="22"/>
        <v>9.9916092563151385E-2</v>
      </c>
      <c r="S14" s="76">
        <f t="shared" si="22"/>
        <v>9.9977148080438755E-2</v>
      </c>
      <c r="T14" s="82"/>
      <c r="U14" s="41">
        <f t="shared" si="23"/>
        <v>30.6</v>
      </c>
      <c r="V14" s="41">
        <f t="shared" si="23"/>
        <v>43.76</v>
      </c>
      <c r="W14" s="82"/>
      <c r="X14" s="41">
        <f t="shared" si="24"/>
        <v>36.72</v>
      </c>
      <c r="Y14" s="41">
        <f t="shared" si="24"/>
        <v>52.51</v>
      </c>
      <c r="AA14" s="182">
        <f t="shared" si="32"/>
        <v>36.700000000000003</v>
      </c>
      <c r="AB14" s="182">
        <f t="shared" si="32"/>
        <v>52.5</v>
      </c>
      <c r="AD14" s="40">
        <f t="shared" si="25"/>
        <v>30.583333333333336</v>
      </c>
      <c r="AE14" s="40">
        <f t="shared" si="25"/>
        <v>43.75</v>
      </c>
      <c r="AG14" s="40">
        <f t="shared" si="33"/>
        <v>1.9999999999996021E-2</v>
      </c>
      <c r="AH14" s="40">
        <f t="shared" si="33"/>
        <v>9.9999999999980105E-3</v>
      </c>
      <c r="AJ14" s="40">
        <f t="shared" si="26"/>
        <v>1.81</v>
      </c>
      <c r="AK14" s="40">
        <f t="shared" si="26"/>
        <v>2.59</v>
      </c>
      <c r="AL14" s="40"/>
      <c r="AM14" s="180">
        <f t="shared" si="34"/>
        <v>12.464800000000004</v>
      </c>
      <c r="AN14" s="180">
        <f t="shared" si="35"/>
        <v>17.844080000000002</v>
      </c>
      <c r="AP14" s="76">
        <f t="shared" si="27"/>
        <v>9.2000000000000026E-2</v>
      </c>
      <c r="AQ14" s="76">
        <f t="shared" si="27"/>
        <v>9.1999999999999985E-2</v>
      </c>
      <c r="AS14" s="76">
        <f t="shared" si="28"/>
        <v>0.40734640522875826</v>
      </c>
      <c r="AT14" s="76">
        <f t="shared" si="28"/>
        <v>0.40777148080438763</v>
      </c>
      <c r="AV14" s="76">
        <f t="shared" si="29"/>
        <v>0.5</v>
      </c>
      <c r="AW14" s="76">
        <f t="shared" si="29"/>
        <v>0.5</v>
      </c>
      <c r="AX14" s="42"/>
      <c r="AY14" s="42">
        <f t="shared" si="30"/>
        <v>15.280000000000005</v>
      </c>
      <c r="AZ14" s="42">
        <f t="shared" si="30"/>
        <v>21.87</v>
      </c>
      <c r="BA14" s="42"/>
      <c r="BB14" s="76">
        <f t="shared" si="31"/>
        <v>0.49934640522875828</v>
      </c>
      <c r="BC14" s="76">
        <f t="shared" si="31"/>
        <v>0.4997714808043876</v>
      </c>
    </row>
    <row r="15" spans="1:61" x14ac:dyDescent="0.25">
      <c r="B15" s="25" t="s">
        <v>26</v>
      </c>
      <c r="C15" s="149">
        <v>19.899999999999999</v>
      </c>
      <c r="D15" s="149">
        <v>27.64</v>
      </c>
      <c r="E15" s="41"/>
      <c r="F15" s="41">
        <f t="shared" si="18"/>
        <v>23.561599999999999</v>
      </c>
      <c r="G15" s="41">
        <f t="shared" si="18"/>
        <v>32.725760000000001</v>
      </c>
      <c r="H15" s="82"/>
      <c r="I15" s="41">
        <f t="shared" si="19"/>
        <v>3.6616</v>
      </c>
      <c r="J15" s="41">
        <f t="shared" si="19"/>
        <v>5.0857600000000005</v>
      </c>
      <c r="K15" s="82"/>
      <c r="L15" s="41">
        <f t="shared" si="20"/>
        <v>25.916</v>
      </c>
      <c r="M15" s="41">
        <f t="shared" si="20"/>
        <v>36.003</v>
      </c>
      <c r="N15" s="82"/>
      <c r="O15" s="41">
        <f t="shared" si="21"/>
        <v>6.0160000000000018</v>
      </c>
      <c r="P15" s="41">
        <f t="shared" si="21"/>
        <v>8.3629999999999995</v>
      </c>
      <c r="Q15" s="82"/>
      <c r="R15" s="76">
        <f t="shared" si="22"/>
        <v>0.10016297704739915</v>
      </c>
      <c r="S15" s="76">
        <f t="shared" si="22"/>
        <v>9.9921285250518244E-2</v>
      </c>
      <c r="T15" s="82"/>
      <c r="U15" s="41">
        <f t="shared" si="23"/>
        <v>39.799999999999997</v>
      </c>
      <c r="V15" s="41">
        <f t="shared" si="23"/>
        <v>55.28</v>
      </c>
      <c r="W15" s="82"/>
      <c r="X15" s="41">
        <f t="shared" si="24"/>
        <v>47.76</v>
      </c>
      <c r="Y15" s="41">
        <f t="shared" si="24"/>
        <v>66.34</v>
      </c>
      <c r="AA15" s="182">
        <f t="shared" si="32"/>
        <v>47.7</v>
      </c>
      <c r="AB15" s="182">
        <f t="shared" si="32"/>
        <v>66.3</v>
      </c>
      <c r="AD15" s="40">
        <f t="shared" si="25"/>
        <v>39.750000000000007</v>
      </c>
      <c r="AE15" s="40">
        <f t="shared" si="25"/>
        <v>55.25</v>
      </c>
      <c r="AG15" s="40">
        <f t="shared" si="33"/>
        <v>5.9999999999995168E-2</v>
      </c>
      <c r="AH15" s="40">
        <f t="shared" si="33"/>
        <v>4.0000000000006253E-2</v>
      </c>
      <c r="AJ15" s="40">
        <f t="shared" si="26"/>
        <v>2.36</v>
      </c>
      <c r="AK15" s="40">
        <f t="shared" si="26"/>
        <v>3.27</v>
      </c>
      <c r="AL15" s="40"/>
      <c r="AM15" s="180">
        <f t="shared" si="34"/>
        <v>16.178400000000003</v>
      </c>
      <c r="AN15" s="180">
        <f t="shared" si="35"/>
        <v>22.514239999999994</v>
      </c>
      <c r="AP15" s="76">
        <f t="shared" si="27"/>
        <v>9.2000000000000012E-2</v>
      </c>
      <c r="AQ15" s="76">
        <f t="shared" si="27"/>
        <v>9.2000000000000012E-2</v>
      </c>
      <c r="AS15" s="76">
        <f t="shared" si="28"/>
        <v>0.40649246231155789</v>
      </c>
      <c r="AT15" s="76">
        <f t="shared" si="28"/>
        <v>0.40727641099855272</v>
      </c>
      <c r="AV15" s="76">
        <f t="shared" si="29"/>
        <v>0.5</v>
      </c>
      <c r="AW15" s="76">
        <f t="shared" si="29"/>
        <v>0.5</v>
      </c>
      <c r="AX15" s="42"/>
      <c r="AY15" s="42">
        <f t="shared" si="30"/>
        <v>19.840000000000003</v>
      </c>
      <c r="AZ15" s="42">
        <f t="shared" si="30"/>
        <v>27.599999999999994</v>
      </c>
      <c r="BA15" s="42"/>
      <c r="BB15" s="76">
        <f t="shared" si="31"/>
        <v>0.49849246231155792</v>
      </c>
      <c r="BC15" s="76">
        <f t="shared" si="31"/>
        <v>0.49927641099855269</v>
      </c>
    </row>
    <row r="16" spans="1:61" x14ac:dyDescent="0.25">
      <c r="B16" s="25" t="s">
        <v>27</v>
      </c>
      <c r="C16" s="149">
        <v>23.3</v>
      </c>
      <c r="D16" s="149">
        <v>32.22</v>
      </c>
      <c r="E16" s="41"/>
      <c r="F16" s="41">
        <f t="shared" si="18"/>
        <v>27.587199999999999</v>
      </c>
      <c r="G16" s="41">
        <f t="shared" si="18"/>
        <v>38.148479999999999</v>
      </c>
      <c r="H16" s="82"/>
      <c r="I16" s="41">
        <f t="shared" si="19"/>
        <v>4.2871999999999986</v>
      </c>
      <c r="J16" s="41">
        <f t="shared" si="19"/>
        <v>5.9284800000000004</v>
      </c>
      <c r="K16" s="82"/>
      <c r="L16" s="41">
        <f t="shared" si="20"/>
        <v>30.349000000000004</v>
      </c>
      <c r="M16" s="41">
        <f t="shared" si="20"/>
        <v>41.965000000000003</v>
      </c>
      <c r="N16" s="82"/>
      <c r="O16" s="41">
        <f t="shared" si="21"/>
        <v>7.049000000000003</v>
      </c>
      <c r="P16" s="41">
        <f t="shared" si="21"/>
        <v>9.7450000000000045</v>
      </c>
      <c r="Q16" s="82"/>
      <c r="R16" s="76">
        <f t="shared" si="22"/>
        <v>0.10004639832966013</v>
      </c>
      <c r="S16" s="76">
        <f t="shared" si="22"/>
        <v>0.10013505125236968</v>
      </c>
      <c r="T16" s="82"/>
      <c r="U16" s="41">
        <f t="shared" si="23"/>
        <v>46.6</v>
      </c>
      <c r="V16" s="41">
        <f t="shared" si="23"/>
        <v>64.44</v>
      </c>
      <c r="W16" s="82"/>
      <c r="X16" s="41">
        <f t="shared" si="24"/>
        <v>55.92</v>
      </c>
      <c r="Y16" s="41">
        <f t="shared" si="24"/>
        <v>77.33</v>
      </c>
      <c r="AA16" s="182">
        <f t="shared" si="32"/>
        <v>55.9</v>
      </c>
      <c r="AB16" s="182">
        <f t="shared" si="32"/>
        <v>77.3</v>
      </c>
      <c r="AD16" s="40">
        <f t="shared" si="25"/>
        <v>46.583333333333336</v>
      </c>
      <c r="AE16" s="40">
        <f t="shared" si="25"/>
        <v>64.416666666666671</v>
      </c>
      <c r="AG16" s="40">
        <f t="shared" si="33"/>
        <v>2.0000000000003126E-2</v>
      </c>
      <c r="AH16" s="40">
        <f t="shared" si="33"/>
        <v>3.0000000000001137E-2</v>
      </c>
      <c r="AJ16" s="40">
        <f t="shared" si="26"/>
        <v>2.76</v>
      </c>
      <c r="AK16" s="40">
        <f t="shared" si="26"/>
        <v>3.82</v>
      </c>
      <c r="AL16" s="40"/>
      <c r="AM16" s="180">
        <f t="shared" si="34"/>
        <v>18.992799999999999</v>
      </c>
      <c r="AN16" s="180">
        <f t="shared" si="35"/>
        <v>26.261519999999997</v>
      </c>
      <c r="AP16" s="76">
        <f t="shared" si="27"/>
        <v>9.1999999999999971E-2</v>
      </c>
      <c r="AQ16" s="76">
        <f t="shared" si="27"/>
        <v>9.2000000000000012E-2</v>
      </c>
      <c r="AS16" s="76">
        <f t="shared" si="28"/>
        <v>0.40757081545064372</v>
      </c>
      <c r="AT16" s="76">
        <f t="shared" si="28"/>
        <v>0.40753445065176908</v>
      </c>
      <c r="AV16" s="76">
        <f t="shared" si="29"/>
        <v>0.5</v>
      </c>
      <c r="AW16" s="76">
        <f t="shared" si="29"/>
        <v>0.5</v>
      </c>
      <c r="AX16" s="42"/>
      <c r="AY16" s="42">
        <f t="shared" si="30"/>
        <v>23.279999999999998</v>
      </c>
      <c r="AZ16" s="42">
        <f t="shared" si="30"/>
        <v>32.19</v>
      </c>
      <c r="BA16" s="42"/>
      <c r="BB16" s="76">
        <f t="shared" si="31"/>
        <v>0.49957081545064369</v>
      </c>
      <c r="BC16" s="76">
        <f t="shared" si="31"/>
        <v>0.49953445065176905</v>
      </c>
    </row>
    <row r="17" spans="2:55" x14ac:dyDescent="0.25">
      <c r="B17" s="25" t="s">
        <v>29</v>
      </c>
      <c r="C17" s="149">
        <v>2.97</v>
      </c>
      <c r="D17" s="149">
        <v>4.04</v>
      </c>
      <c r="E17" s="41"/>
      <c r="F17" s="41">
        <f t="shared" si="18"/>
        <v>3.5164800000000001</v>
      </c>
      <c r="G17" s="41">
        <f t="shared" si="18"/>
        <v>4.7833600000000001</v>
      </c>
      <c r="H17" s="82"/>
      <c r="I17" s="41">
        <f t="shared" si="19"/>
        <v>0.54647999999999985</v>
      </c>
      <c r="J17" s="41">
        <f t="shared" si="19"/>
        <v>0.74336000000000002</v>
      </c>
      <c r="K17" s="82"/>
      <c r="L17" s="41">
        <f t="shared" si="20"/>
        <v>3.8720000000000003</v>
      </c>
      <c r="M17" s="41">
        <f t="shared" si="20"/>
        <v>5.2580000000000009</v>
      </c>
      <c r="N17" s="82"/>
      <c r="O17" s="41">
        <f t="shared" si="21"/>
        <v>0.90200000000000014</v>
      </c>
      <c r="P17" s="41">
        <f t="shared" si="21"/>
        <v>1.2180000000000009</v>
      </c>
      <c r="Q17" s="82"/>
      <c r="R17" s="76">
        <f t="shared" si="22"/>
        <v>9.9531349531349525E-2</v>
      </c>
      <c r="S17" s="76">
        <f t="shared" si="22"/>
        <v>0.10034787262510034</v>
      </c>
      <c r="T17" s="82"/>
      <c r="U17" s="41">
        <f t="shared" si="23"/>
        <v>5.94</v>
      </c>
      <c r="V17" s="41">
        <f t="shared" si="23"/>
        <v>8.08</v>
      </c>
      <c r="W17" s="82"/>
      <c r="X17" s="41">
        <f t="shared" si="24"/>
        <v>7.13</v>
      </c>
      <c r="Y17" s="41">
        <f t="shared" si="24"/>
        <v>9.6999999999999993</v>
      </c>
      <c r="AA17" s="182">
        <f>ROUNDDOWN(C17/(1-$X$1)*1.2,1)</f>
        <v>7.1</v>
      </c>
      <c r="AB17" s="182">
        <f>ROUNDDOWN(D17/(1-$X$1)*1.2,1)</f>
        <v>9.6</v>
      </c>
      <c r="AD17" s="40">
        <f t="shared" si="25"/>
        <v>5.916666666666667</v>
      </c>
      <c r="AE17" s="40">
        <f t="shared" si="25"/>
        <v>8</v>
      </c>
      <c r="AG17" s="40">
        <f t="shared" si="33"/>
        <v>3.0000000000000249E-2</v>
      </c>
      <c r="AH17" s="40">
        <f t="shared" si="33"/>
        <v>9.9999999999999645E-2</v>
      </c>
      <c r="AJ17" s="40">
        <f t="shared" si="26"/>
        <v>0.35</v>
      </c>
      <c r="AK17" s="40">
        <f t="shared" si="26"/>
        <v>0.48</v>
      </c>
      <c r="AL17" s="40"/>
      <c r="AM17" s="180">
        <f t="shared" si="34"/>
        <v>2.3935200000000001</v>
      </c>
      <c r="AN17" s="180">
        <f t="shared" si="35"/>
        <v>3.1966400000000004</v>
      </c>
      <c r="AP17" s="76">
        <f t="shared" si="27"/>
        <v>9.1999999999999971E-2</v>
      </c>
      <c r="AQ17" s="76">
        <f t="shared" si="27"/>
        <v>9.1999999999999998E-2</v>
      </c>
      <c r="AS17" s="76">
        <f t="shared" si="28"/>
        <v>0.40294949494949495</v>
      </c>
      <c r="AT17" s="76">
        <f t="shared" si="28"/>
        <v>0.39562376237623764</v>
      </c>
      <c r="AV17" s="76">
        <f t="shared" si="29"/>
        <v>0.5</v>
      </c>
      <c r="AW17" s="76">
        <f t="shared" si="29"/>
        <v>0.5</v>
      </c>
      <c r="AX17" s="42"/>
      <c r="AY17" s="42">
        <f t="shared" si="30"/>
        <v>2.94</v>
      </c>
      <c r="AZ17" s="42">
        <f t="shared" si="30"/>
        <v>3.9400000000000004</v>
      </c>
      <c r="BA17" s="42"/>
      <c r="BB17" s="76">
        <f t="shared" si="31"/>
        <v>0.49494949494949492</v>
      </c>
      <c r="BC17" s="76">
        <f t="shared" si="31"/>
        <v>0.48762376237623767</v>
      </c>
    </row>
    <row r="18" spans="2:55" x14ac:dyDescent="0.25">
      <c r="B18" s="25"/>
      <c r="C18" s="41"/>
      <c r="D18" s="41"/>
      <c r="E18" s="41"/>
      <c r="F18" s="41"/>
      <c r="G18" s="41"/>
      <c r="H18" s="82"/>
      <c r="I18" s="82"/>
      <c r="J18" s="82"/>
      <c r="K18" s="82"/>
      <c r="L18" s="41"/>
      <c r="M18" s="41"/>
      <c r="N18" s="4"/>
      <c r="O18" s="4"/>
      <c r="P18" s="4"/>
      <c r="Q18" s="4"/>
      <c r="R18" s="78"/>
      <c r="T18" s="4"/>
      <c r="U18" s="4"/>
      <c r="V18" s="4"/>
      <c r="W18" s="4"/>
      <c r="AJ18" s="40"/>
      <c r="AK18" s="40"/>
      <c r="AL18" s="40"/>
      <c r="AS18" s="103"/>
      <c r="AT18" s="103"/>
      <c r="AV18" s="40"/>
      <c r="AW18" s="40"/>
      <c r="BB18" s="77"/>
      <c r="BC18" s="77"/>
    </row>
    <row r="19" spans="2:55" x14ac:dyDescent="0.25">
      <c r="B19" s="32" t="s">
        <v>30</v>
      </c>
      <c r="C19" s="41"/>
      <c r="D19" s="41"/>
      <c r="E19" s="41"/>
      <c r="F19" s="41"/>
      <c r="G19" s="41"/>
      <c r="H19" s="82"/>
      <c r="I19" s="82"/>
      <c r="J19" s="82"/>
      <c r="K19" s="82"/>
      <c r="L19" s="41"/>
      <c r="M19" s="41"/>
      <c r="N19" s="4"/>
      <c r="O19" s="4"/>
      <c r="P19" s="4"/>
      <c r="Q19" s="4"/>
      <c r="R19" s="78"/>
      <c r="T19" s="4"/>
      <c r="U19" s="4"/>
      <c r="V19" s="4"/>
      <c r="W19" s="4"/>
      <c r="AJ19" s="40"/>
      <c r="AK19" s="40"/>
      <c r="AL19" s="40"/>
      <c r="AS19" s="103"/>
      <c r="AT19" s="103"/>
      <c r="AV19" s="40"/>
      <c r="AW19" s="40"/>
      <c r="BB19" s="77"/>
      <c r="BC19" s="77"/>
    </row>
    <row r="20" spans="2:55" x14ac:dyDescent="0.25">
      <c r="B20" s="25" t="s">
        <v>31</v>
      </c>
      <c r="C20" s="149">
        <v>21.89</v>
      </c>
      <c r="D20" s="149">
        <v>26.67</v>
      </c>
      <c r="E20" s="41"/>
      <c r="F20" s="41">
        <f t="shared" ref="F20:G25" si="36">C20*SUM(1+$G$1/$X$1)</f>
        <v>25.917759999999998</v>
      </c>
      <c r="G20" s="41">
        <f t="shared" si="36"/>
        <v>31.577280000000002</v>
      </c>
      <c r="H20" s="82"/>
      <c r="I20" s="41">
        <f t="shared" ref="I20:J25" si="37">F20-C20</f>
        <v>4.0277599999999971</v>
      </c>
      <c r="J20" s="41">
        <f t="shared" si="37"/>
        <v>4.9072800000000001</v>
      </c>
      <c r="K20" s="82"/>
      <c r="L20" s="41">
        <f t="shared" ref="L20:M25" si="38">ROUND(C20*(1+$G$1*2),2)*SUM(1+$M$1)</f>
        <v>28.512000000000004</v>
      </c>
      <c r="M20" s="41">
        <f t="shared" si="38"/>
        <v>34.738</v>
      </c>
      <c r="N20" s="82"/>
      <c r="O20" s="41">
        <f t="shared" ref="O20:P25" si="39">L20-C20</f>
        <v>6.6220000000000034</v>
      </c>
      <c r="P20" s="41">
        <f t="shared" si="39"/>
        <v>8.0679999999999978</v>
      </c>
      <c r="Q20" s="82"/>
      <c r="R20" s="76">
        <f t="shared" ref="R20:S25" si="40">AJ20/F20</f>
        <v>9.9931475559616262E-2</v>
      </c>
      <c r="S20" s="76">
        <f t="shared" si="40"/>
        <v>0.10007195046565125</v>
      </c>
      <c r="T20" s="82"/>
      <c r="U20" s="41">
        <f t="shared" ref="U20:V25" si="41">SUM(C20/(1-$X$1))</f>
        <v>43.78</v>
      </c>
      <c r="V20" s="41">
        <f t="shared" si="41"/>
        <v>53.34</v>
      </c>
      <c r="W20" s="82"/>
      <c r="X20" s="41">
        <f t="shared" ref="X20:Y25" si="42">ROUND(C20/(1-$X$1)*1.2,2)</f>
        <v>52.54</v>
      </c>
      <c r="Y20" s="41">
        <f t="shared" si="42"/>
        <v>64.010000000000005</v>
      </c>
      <c r="AA20" s="182">
        <f>ROUNDDOWN(C20/(1-$X$1)*1.2,1)</f>
        <v>52.5</v>
      </c>
      <c r="AB20" s="182">
        <f>ROUNDDOWN(D20/(1-$X$1)*1.2,1)</f>
        <v>64</v>
      </c>
      <c r="AD20" s="40">
        <f t="shared" ref="AD20:AE25" si="43">AA20/1.2</f>
        <v>43.75</v>
      </c>
      <c r="AE20" s="40">
        <f t="shared" si="43"/>
        <v>53.333333333333336</v>
      </c>
      <c r="AG20" s="40">
        <f>X20-AA20</f>
        <v>3.9999999999999147E-2</v>
      </c>
      <c r="AH20" s="40">
        <f>Y20-AB20</f>
        <v>1.0000000000005116E-2</v>
      </c>
      <c r="AJ20" s="40">
        <f t="shared" ref="AJ20:AK25" si="44">ROUND(L20*(1-(1/(1+$AL$1))),2)</f>
        <v>2.59</v>
      </c>
      <c r="AK20" s="40">
        <f t="shared" si="44"/>
        <v>3.16</v>
      </c>
      <c r="AL20" s="40"/>
      <c r="AM20" s="180">
        <f>SUM(U20-F20)-AG20</f>
        <v>17.822240000000004</v>
      </c>
      <c r="AN20" s="180">
        <f>SUM(V20-G20)-AH20</f>
        <v>21.752719999999997</v>
      </c>
      <c r="AP20" s="76">
        <f t="shared" ref="AP20:AQ25" si="45">(SUM(F20-C20)/C20)*$X$1</f>
        <v>9.1999999999999929E-2</v>
      </c>
      <c r="AQ20" s="76">
        <f t="shared" si="45"/>
        <v>9.1999999999999998E-2</v>
      </c>
      <c r="AS20" s="76">
        <f t="shared" ref="AS20:AT25" si="46">AM20/U20</f>
        <v>0.40708634079488359</v>
      </c>
      <c r="AT20" s="76">
        <f t="shared" si="46"/>
        <v>0.40781252343457058</v>
      </c>
      <c r="AV20" s="76">
        <f t="shared" ref="AV20:AW25" si="47">C20/U20</f>
        <v>0.5</v>
      </c>
      <c r="AW20" s="76">
        <f t="shared" si="47"/>
        <v>0.5</v>
      </c>
      <c r="AX20" s="42"/>
      <c r="AY20" s="42">
        <f t="shared" ref="AY20:AZ25" si="48">I20+AM20</f>
        <v>21.85</v>
      </c>
      <c r="AZ20" s="42">
        <f t="shared" si="48"/>
        <v>26.659999999999997</v>
      </c>
      <c r="BA20" s="42"/>
      <c r="BB20" s="76">
        <f t="shared" ref="BB20:BC25" si="49">AY20/(C20/$X$1)</f>
        <v>0.49908634079488351</v>
      </c>
      <c r="BC20" s="76">
        <f t="shared" si="49"/>
        <v>0.49981252343457061</v>
      </c>
    </row>
    <row r="21" spans="2:55" x14ac:dyDescent="0.25">
      <c r="B21" s="25" t="s">
        <v>24</v>
      </c>
      <c r="C21" s="149">
        <v>25.95</v>
      </c>
      <c r="D21" s="149">
        <v>29.47</v>
      </c>
      <c r="E21" s="41"/>
      <c r="F21" s="41">
        <f t="shared" si="36"/>
        <v>30.724799999999998</v>
      </c>
      <c r="G21" s="41">
        <f t="shared" si="36"/>
        <v>34.892479999999999</v>
      </c>
      <c r="H21" s="82"/>
      <c r="I21" s="41">
        <f t="shared" si="37"/>
        <v>4.774799999999999</v>
      </c>
      <c r="J21" s="41">
        <f t="shared" si="37"/>
        <v>5.4224800000000002</v>
      </c>
      <c r="K21" s="82"/>
      <c r="L21" s="41">
        <f t="shared" si="38"/>
        <v>33.792000000000002</v>
      </c>
      <c r="M21" s="41">
        <f t="shared" si="38"/>
        <v>38.379000000000005</v>
      </c>
      <c r="N21" s="82"/>
      <c r="O21" s="41">
        <f t="shared" si="39"/>
        <v>7.8420000000000023</v>
      </c>
      <c r="P21" s="41">
        <f t="shared" si="39"/>
        <v>8.909000000000006</v>
      </c>
      <c r="Q21" s="82"/>
      <c r="R21" s="76">
        <f t="shared" si="40"/>
        <v>9.9919283445295007E-2</v>
      </c>
      <c r="S21" s="76">
        <f t="shared" si="40"/>
        <v>0.10002155192178946</v>
      </c>
      <c r="T21" s="82"/>
      <c r="U21" s="41">
        <f t="shared" si="41"/>
        <v>51.9</v>
      </c>
      <c r="V21" s="41">
        <f t="shared" si="41"/>
        <v>58.94</v>
      </c>
      <c r="W21" s="82"/>
      <c r="X21" s="41">
        <f t="shared" si="42"/>
        <v>62.28</v>
      </c>
      <c r="Y21" s="41">
        <f t="shared" si="42"/>
        <v>70.73</v>
      </c>
      <c r="AA21" s="182">
        <f t="shared" ref="AA21:AB24" si="50">ROUNDDOWN(C21/(1-$X$1)*1.2,1)</f>
        <v>62.2</v>
      </c>
      <c r="AB21" s="182">
        <f t="shared" si="50"/>
        <v>70.7</v>
      </c>
      <c r="AD21" s="40">
        <f t="shared" si="43"/>
        <v>51.833333333333336</v>
      </c>
      <c r="AE21" s="40">
        <f t="shared" si="43"/>
        <v>58.916666666666671</v>
      </c>
      <c r="AG21" s="40">
        <f t="shared" ref="AG21:AH25" si="51">X21-AA21</f>
        <v>7.9999999999998295E-2</v>
      </c>
      <c r="AH21" s="40">
        <f t="shared" si="51"/>
        <v>3.0000000000001137E-2</v>
      </c>
      <c r="AJ21" s="40">
        <f t="shared" si="44"/>
        <v>3.07</v>
      </c>
      <c r="AK21" s="40">
        <f t="shared" si="44"/>
        <v>3.49</v>
      </c>
      <c r="AL21" s="40"/>
      <c r="AM21" s="180">
        <f t="shared" ref="AM21:AM25" si="52">SUM(U21-F21)-AG21</f>
        <v>21.095200000000002</v>
      </c>
      <c r="AN21" s="180">
        <f t="shared" ref="AN21:AN25" si="53">SUM(V21-G21)-AH21</f>
        <v>24.017519999999998</v>
      </c>
      <c r="AP21" s="76">
        <f t="shared" si="45"/>
        <v>9.1999999999999985E-2</v>
      </c>
      <c r="AQ21" s="76">
        <f t="shared" si="45"/>
        <v>9.2000000000000012E-2</v>
      </c>
      <c r="AS21" s="76">
        <f t="shared" si="46"/>
        <v>0.40645857418111758</v>
      </c>
      <c r="AT21" s="76">
        <f t="shared" si="46"/>
        <v>0.40749100780454695</v>
      </c>
      <c r="AV21" s="76">
        <f t="shared" si="47"/>
        <v>0.5</v>
      </c>
      <c r="AW21" s="76">
        <f t="shared" si="47"/>
        <v>0.5</v>
      </c>
      <c r="AX21" s="42"/>
      <c r="AY21" s="42">
        <f t="shared" si="48"/>
        <v>25.87</v>
      </c>
      <c r="AZ21" s="42">
        <f t="shared" si="48"/>
        <v>29.439999999999998</v>
      </c>
      <c r="BA21" s="42"/>
      <c r="BB21" s="76">
        <f t="shared" si="49"/>
        <v>0.49845857418111755</v>
      </c>
      <c r="BC21" s="76">
        <f t="shared" si="49"/>
        <v>0.49949100780454697</v>
      </c>
    </row>
    <row r="22" spans="2:55" x14ac:dyDescent="0.25">
      <c r="B22" s="25" t="s">
        <v>25</v>
      </c>
      <c r="C22" s="149">
        <v>31.23</v>
      </c>
      <c r="D22" s="149">
        <v>35.770000000000003</v>
      </c>
      <c r="E22" s="41"/>
      <c r="F22" s="41">
        <f t="shared" si="36"/>
        <v>36.976320000000001</v>
      </c>
      <c r="G22" s="41">
        <f t="shared" si="36"/>
        <v>42.351680000000002</v>
      </c>
      <c r="H22" s="82"/>
      <c r="I22" s="41">
        <f t="shared" si="37"/>
        <v>5.7463200000000008</v>
      </c>
      <c r="J22" s="41">
        <f t="shared" si="37"/>
        <v>6.5816799999999986</v>
      </c>
      <c r="K22" s="82"/>
      <c r="L22" s="41">
        <f t="shared" si="38"/>
        <v>40.677999999999997</v>
      </c>
      <c r="M22" s="41">
        <f t="shared" si="38"/>
        <v>46.585000000000008</v>
      </c>
      <c r="N22" s="82"/>
      <c r="O22" s="41">
        <f t="shared" si="39"/>
        <v>9.4479999999999968</v>
      </c>
      <c r="P22" s="41">
        <f t="shared" si="39"/>
        <v>10.815000000000005</v>
      </c>
      <c r="Q22" s="82"/>
      <c r="R22" s="76">
        <f t="shared" si="40"/>
        <v>0.10006404098623119</v>
      </c>
      <c r="S22" s="76">
        <f t="shared" si="40"/>
        <v>0.10011409228630364</v>
      </c>
      <c r="T22" s="82"/>
      <c r="U22" s="41">
        <f t="shared" si="41"/>
        <v>62.46</v>
      </c>
      <c r="V22" s="41">
        <f t="shared" si="41"/>
        <v>71.540000000000006</v>
      </c>
      <c r="W22" s="82"/>
      <c r="X22" s="41">
        <f t="shared" si="42"/>
        <v>74.95</v>
      </c>
      <c r="Y22" s="41">
        <f t="shared" si="42"/>
        <v>85.85</v>
      </c>
      <c r="AA22" s="182">
        <f t="shared" si="50"/>
        <v>74.900000000000006</v>
      </c>
      <c r="AB22" s="182">
        <f t="shared" si="50"/>
        <v>85.8</v>
      </c>
      <c r="AD22" s="40">
        <f t="shared" si="43"/>
        <v>62.416666666666671</v>
      </c>
      <c r="AE22" s="40">
        <f t="shared" si="43"/>
        <v>71.5</v>
      </c>
      <c r="AG22" s="40">
        <f t="shared" si="51"/>
        <v>4.9999999999997158E-2</v>
      </c>
      <c r="AH22" s="40">
        <f t="shared" si="51"/>
        <v>4.9999999999997158E-2</v>
      </c>
      <c r="AJ22" s="40">
        <f t="shared" si="44"/>
        <v>3.7</v>
      </c>
      <c r="AK22" s="40">
        <f t="shared" si="44"/>
        <v>4.24</v>
      </c>
      <c r="AL22" s="40"/>
      <c r="AM22" s="180">
        <f t="shared" si="52"/>
        <v>25.433680000000003</v>
      </c>
      <c r="AN22" s="180">
        <f t="shared" si="53"/>
        <v>29.138320000000007</v>
      </c>
      <c r="AP22" s="76">
        <f t="shared" si="45"/>
        <v>9.2000000000000012E-2</v>
      </c>
      <c r="AQ22" s="76">
        <f t="shared" si="45"/>
        <v>9.1999999999999971E-2</v>
      </c>
      <c r="AS22" s="76">
        <f t="shared" si="46"/>
        <v>0.40719948767211017</v>
      </c>
      <c r="AT22" s="76">
        <f t="shared" si="46"/>
        <v>0.40730109029913342</v>
      </c>
      <c r="AV22" s="76">
        <f t="shared" si="47"/>
        <v>0.5</v>
      </c>
      <c r="AW22" s="76">
        <f t="shared" si="47"/>
        <v>0.5</v>
      </c>
      <c r="AX22" s="42"/>
      <c r="AY22" s="42">
        <f t="shared" si="48"/>
        <v>31.180000000000003</v>
      </c>
      <c r="AZ22" s="42">
        <f t="shared" si="48"/>
        <v>35.720000000000006</v>
      </c>
      <c r="BA22" s="42"/>
      <c r="BB22" s="76">
        <f t="shared" si="49"/>
        <v>0.4991994876721102</v>
      </c>
      <c r="BC22" s="76">
        <f t="shared" si="49"/>
        <v>0.49930109029913339</v>
      </c>
    </row>
    <row r="23" spans="2:55" x14ac:dyDescent="0.25">
      <c r="B23" s="25" t="s">
        <v>26</v>
      </c>
      <c r="C23" s="149">
        <v>38.090000000000003</v>
      </c>
      <c r="D23" s="149">
        <v>43.66</v>
      </c>
      <c r="E23" s="41"/>
      <c r="F23" s="41">
        <f t="shared" si="36"/>
        <v>45.098559999999999</v>
      </c>
      <c r="G23" s="41">
        <f t="shared" si="36"/>
        <v>51.693439999999995</v>
      </c>
      <c r="H23" s="82"/>
      <c r="I23" s="41">
        <f t="shared" si="37"/>
        <v>7.0085599999999957</v>
      </c>
      <c r="J23" s="41">
        <f t="shared" si="37"/>
        <v>8.0334399999999988</v>
      </c>
      <c r="K23" s="82"/>
      <c r="L23" s="41">
        <f t="shared" si="38"/>
        <v>49.610000000000007</v>
      </c>
      <c r="M23" s="41">
        <f t="shared" si="38"/>
        <v>56.859000000000002</v>
      </c>
      <c r="N23" s="82"/>
      <c r="O23" s="41">
        <f t="shared" si="39"/>
        <v>11.520000000000003</v>
      </c>
      <c r="P23" s="41">
        <f t="shared" si="39"/>
        <v>13.199000000000005</v>
      </c>
      <c r="Q23" s="82"/>
      <c r="R23" s="76">
        <f t="shared" si="40"/>
        <v>0.10000319300660597</v>
      </c>
      <c r="S23" s="76">
        <f t="shared" si="40"/>
        <v>0.10001269019821471</v>
      </c>
      <c r="T23" s="82"/>
      <c r="U23" s="41">
        <f t="shared" si="41"/>
        <v>76.180000000000007</v>
      </c>
      <c r="V23" s="41">
        <f t="shared" si="41"/>
        <v>87.32</v>
      </c>
      <c r="W23" s="82"/>
      <c r="X23" s="41">
        <f t="shared" si="42"/>
        <v>91.42</v>
      </c>
      <c r="Y23" s="41">
        <f t="shared" si="42"/>
        <v>104.78</v>
      </c>
      <c r="AA23" s="182">
        <f t="shared" si="50"/>
        <v>91.4</v>
      </c>
      <c r="AB23" s="182">
        <f t="shared" si="50"/>
        <v>104.7</v>
      </c>
      <c r="AD23" s="40">
        <f t="shared" si="43"/>
        <v>76.166666666666671</v>
      </c>
      <c r="AE23" s="40">
        <f t="shared" si="43"/>
        <v>87.25</v>
      </c>
      <c r="AG23" s="40">
        <f t="shared" si="51"/>
        <v>1.9999999999996021E-2</v>
      </c>
      <c r="AH23" s="40">
        <f t="shared" si="51"/>
        <v>7.9999999999998295E-2</v>
      </c>
      <c r="AJ23" s="40">
        <f t="shared" si="44"/>
        <v>4.51</v>
      </c>
      <c r="AK23" s="40">
        <f t="shared" si="44"/>
        <v>5.17</v>
      </c>
      <c r="AL23" s="40"/>
      <c r="AM23" s="180">
        <f t="shared" si="52"/>
        <v>31.061440000000012</v>
      </c>
      <c r="AN23" s="180">
        <f t="shared" si="53"/>
        <v>35.546559999999999</v>
      </c>
      <c r="AP23" s="76">
        <f t="shared" si="45"/>
        <v>9.1999999999999929E-2</v>
      </c>
      <c r="AQ23" s="76">
        <f t="shared" si="45"/>
        <v>9.1999999999999998E-2</v>
      </c>
      <c r="AS23" s="76">
        <f t="shared" si="46"/>
        <v>0.40773746390128657</v>
      </c>
      <c r="AT23" s="76">
        <f t="shared" si="46"/>
        <v>0.40708382959230421</v>
      </c>
      <c r="AV23" s="76">
        <f t="shared" si="47"/>
        <v>0.5</v>
      </c>
      <c r="AW23" s="76">
        <f t="shared" si="47"/>
        <v>0.5</v>
      </c>
      <c r="AX23" s="42"/>
      <c r="AY23" s="42">
        <f t="shared" si="48"/>
        <v>38.070000000000007</v>
      </c>
      <c r="AZ23" s="42">
        <f t="shared" si="48"/>
        <v>43.58</v>
      </c>
      <c r="BA23" s="42"/>
      <c r="BB23" s="76">
        <f t="shared" si="49"/>
        <v>0.49973746390128648</v>
      </c>
      <c r="BC23" s="76">
        <f t="shared" si="49"/>
        <v>0.49908382959230418</v>
      </c>
    </row>
    <row r="24" spans="2:55" x14ac:dyDescent="0.25">
      <c r="B24" s="25" t="s">
        <v>27</v>
      </c>
      <c r="C24" s="149">
        <v>42.56</v>
      </c>
      <c r="D24" s="149">
        <v>47.99</v>
      </c>
      <c r="E24" s="41"/>
      <c r="F24" s="41">
        <f t="shared" si="36"/>
        <v>50.391039999999997</v>
      </c>
      <c r="G24" s="41">
        <f t="shared" si="36"/>
        <v>56.820160000000001</v>
      </c>
      <c r="H24" s="82"/>
      <c r="I24" s="41">
        <f t="shared" si="37"/>
        <v>7.8310399999999944</v>
      </c>
      <c r="J24" s="41">
        <f t="shared" si="37"/>
        <v>8.8301599999999993</v>
      </c>
      <c r="K24" s="82"/>
      <c r="L24" s="41">
        <f t="shared" si="38"/>
        <v>55.429000000000002</v>
      </c>
      <c r="M24" s="41">
        <f t="shared" si="38"/>
        <v>62.502000000000002</v>
      </c>
      <c r="N24" s="82"/>
      <c r="O24" s="41">
        <f t="shared" si="39"/>
        <v>12.869</v>
      </c>
      <c r="P24" s="41">
        <f t="shared" si="39"/>
        <v>14.512</v>
      </c>
      <c r="Q24" s="82"/>
      <c r="R24" s="76">
        <f t="shared" si="40"/>
        <v>0.10001778093883358</v>
      </c>
      <c r="S24" s="76">
        <f t="shared" si="40"/>
        <v>9.9964519635284368E-2</v>
      </c>
      <c r="T24" s="82"/>
      <c r="U24" s="41">
        <f t="shared" si="41"/>
        <v>85.12</v>
      </c>
      <c r="V24" s="41">
        <f t="shared" si="41"/>
        <v>95.98</v>
      </c>
      <c r="W24" s="82"/>
      <c r="X24" s="41">
        <f t="shared" si="42"/>
        <v>102.14</v>
      </c>
      <c r="Y24" s="41">
        <f t="shared" si="42"/>
        <v>115.18</v>
      </c>
      <c r="AA24" s="182">
        <f t="shared" si="50"/>
        <v>102.1</v>
      </c>
      <c r="AB24" s="182">
        <f t="shared" si="50"/>
        <v>115.1</v>
      </c>
      <c r="AD24" s="40">
        <f t="shared" si="43"/>
        <v>85.083333333333329</v>
      </c>
      <c r="AE24" s="40">
        <f t="shared" si="43"/>
        <v>95.916666666666671</v>
      </c>
      <c r="AG24" s="40">
        <f t="shared" si="51"/>
        <v>4.0000000000006253E-2</v>
      </c>
      <c r="AH24" s="40">
        <f t="shared" si="51"/>
        <v>8.0000000000012506E-2</v>
      </c>
      <c r="AJ24" s="40">
        <f t="shared" si="44"/>
        <v>5.04</v>
      </c>
      <c r="AK24" s="40">
        <f t="shared" si="44"/>
        <v>5.68</v>
      </c>
      <c r="AL24" s="40"/>
      <c r="AM24" s="180">
        <f t="shared" si="52"/>
        <v>34.688960000000002</v>
      </c>
      <c r="AN24" s="180">
        <f t="shared" si="53"/>
        <v>39.07983999999999</v>
      </c>
      <c r="AP24" s="76">
        <f t="shared" si="45"/>
        <v>9.1999999999999929E-2</v>
      </c>
      <c r="AQ24" s="76">
        <f t="shared" si="45"/>
        <v>9.1999999999999985E-2</v>
      </c>
      <c r="AS24" s="76">
        <f t="shared" si="46"/>
        <v>0.40753007518796991</v>
      </c>
      <c r="AT24" s="76">
        <f t="shared" si="46"/>
        <v>0.40716649301937891</v>
      </c>
      <c r="AV24" s="76">
        <f t="shared" si="47"/>
        <v>0.5</v>
      </c>
      <c r="AW24" s="76">
        <f t="shared" si="47"/>
        <v>0.5</v>
      </c>
      <c r="AX24" s="42"/>
      <c r="AY24" s="42">
        <f t="shared" si="48"/>
        <v>42.519999999999996</v>
      </c>
      <c r="AZ24" s="42">
        <f t="shared" si="48"/>
        <v>47.909999999999989</v>
      </c>
      <c r="BA24" s="42"/>
      <c r="BB24" s="76">
        <f t="shared" si="49"/>
        <v>0.49953007518796982</v>
      </c>
      <c r="BC24" s="76">
        <f t="shared" si="49"/>
        <v>0.49916649301937893</v>
      </c>
    </row>
    <row r="25" spans="2:55" x14ac:dyDescent="0.25">
      <c r="B25" s="25" t="s">
        <v>29</v>
      </c>
      <c r="C25" s="149">
        <v>5.74</v>
      </c>
      <c r="D25" s="149">
        <v>6.27</v>
      </c>
      <c r="E25" s="41"/>
      <c r="F25" s="41">
        <f t="shared" si="36"/>
        <v>6.7961599999999995</v>
      </c>
      <c r="G25" s="41">
        <f t="shared" si="36"/>
        <v>7.4236799999999992</v>
      </c>
      <c r="H25" s="82"/>
      <c r="I25" s="41">
        <f t="shared" si="37"/>
        <v>1.0561599999999993</v>
      </c>
      <c r="J25" s="41">
        <f t="shared" si="37"/>
        <v>1.1536799999999996</v>
      </c>
      <c r="K25" s="82"/>
      <c r="L25" s="41">
        <f t="shared" si="38"/>
        <v>7.48</v>
      </c>
      <c r="M25" s="41">
        <f t="shared" si="38"/>
        <v>8.1620000000000008</v>
      </c>
      <c r="N25" s="82"/>
      <c r="O25" s="41">
        <f t="shared" si="39"/>
        <v>1.7400000000000002</v>
      </c>
      <c r="P25" s="41">
        <f t="shared" si="39"/>
        <v>1.8920000000000012</v>
      </c>
      <c r="Q25" s="82"/>
      <c r="R25" s="76">
        <f t="shared" si="40"/>
        <v>0.1000565024955269</v>
      </c>
      <c r="S25" s="76">
        <f t="shared" si="40"/>
        <v>9.9681020733652329E-2</v>
      </c>
      <c r="T25" s="82"/>
      <c r="U25" s="41">
        <f t="shared" si="41"/>
        <v>11.48</v>
      </c>
      <c r="V25" s="41">
        <f t="shared" si="41"/>
        <v>12.54</v>
      </c>
      <c r="W25" s="82"/>
      <c r="X25" s="41">
        <f t="shared" si="42"/>
        <v>13.78</v>
      </c>
      <c r="Y25" s="41">
        <f t="shared" si="42"/>
        <v>15.05</v>
      </c>
      <c r="AA25" s="182">
        <f>ROUNDDOWN(C25/(1-$X$1)*1.2,1)</f>
        <v>13.7</v>
      </c>
      <c r="AB25" s="182">
        <f>ROUNDDOWN(D25/(1-$X$1)*1.2,1)</f>
        <v>15</v>
      </c>
      <c r="AD25" s="40">
        <f t="shared" si="43"/>
        <v>11.416666666666666</v>
      </c>
      <c r="AE25" s="40">
        <f t="shared" si="43"/>
        <v>12.5</v>
      </c>
      <c r="AG25" s="40">
        <f t="shared" si="51"/>
        <v>8.0000000000000071E-2</v>
      </c>
      <c r="AH25" s="40">
        <f t="shared" si="51"/>
        <v>5.0000000000000711E-2</v>
      </c>
      <c r="AJ25" s="40">
        <f t="shared" si="44"/>
        <v>0.68</v>
      </c>
      <c r="AK25" s="40">
        <f t="shared" si="44"/>
        <v>0.74</v>
      </c>
      <c r="AL25" s="40"/>
      <c r="AM25" s="180">
        <f t="shared" si="52"/>
        <v>4.6038400000000008</v>
      </c>
      <c r="AN25" s="180">
        <f t="shared" si="53"/>
        <v>5.0663199999999993</v>
      </c>
      <c r="AP25" s="76">
        <f t="shared" si="45"/>
        <v>9.1999999999999943E-2</v>
      </c>
      <c r="AQ25" s="76">
        <f t="shared" si="45"/>
        <v>9.1999999999999971E-2</v>
      </c>
      <c r="AS25" s="76">
        <f t="shared" si="46"/>
        <v>0.40103135888501745</v>
      </c>
      <c r="AT25" s="76">
        <f t="shared" si="46"/>
        <v>0.40401275917065388</v>
      </c>
      <c r="AV25" s="76">
        <f t="shared" si="47"/>
        <v>0.5</v>
      </c>
      <c r="AW25" s="76">
        <f t="shared" si="47"/>
        <v>0.5</v>
      </c>
      <c r="AX25" s="42"/>
      <c r="AY25" s="42">
        <f t="shared" si="48"/>
        <v>5.66</v>
      </c>
      <c r="AZ25" s="42">
        <f t="shared" si="48"/>
        <v>6.2199999999999989</v>
      </c>
      <c r="BA25" s="42"/>
      <c r="BB25" s="76">
        <f t="shared" si="49"/>
        <v>0.49303135888501742</v>
      </c>
      <c r="BC25" s="76">
        <f t="shared" si="49"/>
        <v>0.49601275917065385</v>
      </c>
    </row>
    <row r="26" spans="2:55" x14ac:dyDescent="0.25">
      <c r="B26" s="25"/>
      <c r="C26" s="41"/>
      <c r="D26" s="41"/>
      <c r="E26" s="41"/>
      <c r="F26" s="41"/>
      <c r="G26" s="41"/>
      <c r="H26" s="82"/>
      <c r="I26" s="82"/>
      <c r="J26" s="82"/>
      <c r="K26" s="82"/>
      <c r="L26" s="41"/>
      <c r="M26" s="41"/>
      <c r="N26" s="4"/>
      <c r="O26" s="4"/>
      <c r="P26" s="4"/>
      <c r="Q26" s="4"/>
      <c r="R26" s="78"/>
      <c r="T26" s="4"/>
      <c r="U26" s="4"/>
      <c r="V26" s="4"/>
      <c r="W26" s="4"/>
      <c r="AJ26" s="40"/>
      <c r="AK26" s="40"/>
      <c r="AL26" s="40"/>
      <c r="AM26" s="102"/>
      <c r="AN26" s="102"/>
      <c r="AS26" s="76"/>
      <c r="AT26" s="76"/>
      <c r="AV26" s="40"/>
      <c r="AW26" s="40"/>
      <c r="BB26" s="77"/>
      <c r="BC26" s="77"/>
    </row>
    <row r="27" spans="2:55" x14ac:dyDescent="0.25">
      <c r="B27" s="32" t="s">
        <v>32</v>
      </c>
      <c r="C27" s="41"/>
      <c r="D27" s="41"/>
      <c r="E27" s="41"/>
      <c r="F27" s="41"/>
      <c r="G27" s="41"/>
      <c r="H27" s="82"/>
      <c r="I27" s="82"/>
      <c r="J27" s="82"/>
      <c r="K27" s="82"/>
      <c r="L27" s="41"/>
      <c r="M27" s="41"/>
      <c r="N27" s="4"/>
      <c r="O27" s="4"/>
      <c r="P27" s="4"/>
      <c r="Q27" s="4"/>
      <c r="R27" s="78"/>
      <c r="T27" s="4"/>
      <c r="U27" s="4"/>
      <c r="V27" s="4"/>
      <c r="W27" s="4"/>
      <c r="AJ27" s="40"/>
      <c r="AK27" s="40"/>
      <c r="AL27" s="40"/>
      <c r="AS27" s="103"/>
      <c r="AT27" s="103"/>
      <c r="AV27" s="40"/>
      <c r="AW27" s="40"/>
      <c r="BB27" s="77"/>
      <c r="BC27" s="77"/>
    </row>
    <row r="28" spans="2:55" x14ac:dyDescent="0.25">
      <c r="B28" s="25" t="s">
        <v>23</v>
      </c>
      <c r="C28" s="149">
        <v>24.89</v>
      </c>
      <c r="D28" s="149">
        <v>29.26</v>
      </c>
      <c r="E28" s="41"/>
      <c r="F28" s="41">
        <f t="shared" ref="F28:G33" si="54">C28*SUM(1+$G$1/$X$1)</f>
        <v>29.469760000000001</v>
      </c>
      <c r="G28" s="41">
        <f t="shared" si="54"/>
        <v>34.643839999999997</v>
      </c>
      <c r="H28" s="82"/>
      <c r="I28" s="41">
        <f t="shared" ref="I28:J33" si="55">F28-C28</f>
        <v>4.5797600000000003</v>
      </c>
      <c r="J28" s="41">
        <f t="shared" si="55"/>
        <v>5.3838399999999957</v>
      </c>
      <c r="K28" s="82"/>
      <c r="L28" s="41">
        <f t="shared" ref="L28:M33" si="56">ROUND(C28*(1+$G$1*2),2)*SUM(1+$M$1)</f>
        <v>32.417000000000002</v>
      </c>
      <c r="M28" s="41">
        <f t="shared" si="56"/>
        <v>38.104000000000006</v>
      </c>
      <c r="N28" s="82"/>
      <c r="O28" s="41">
        <f t="shared" ref="O28:P32" si="57">L28-C28</f>
        <v>7.527000000000001</v>
      </c>
      <c r="P28" s="41">
        <f t="shared" si="57"/>
        <v>8.8440000000000047</v>
      </c>
      <c r="Q28" s="82"/>
      <c r="R28" s="76">
        <f t="shared" ref="R28:S33" si="58">AJ28/F28</f>
        <v>0.10010261366227619</v>
      </c>
      <c r="S28" s="76">
        <f t="shared" si="58"/>
        <v>9.987345513661304E-2</v>
      </c>
      <c r="T28" s="82"/>
      <c r="U28" s="41">
        <f t="shared" ref="U28:V33" si="59">SUM(C28/(1-$X$1))</f>
        <v>49.78</v>
      </c>
      <c r="V28" s="41">
        <f t="shared" si="59"/>
        <v>58.52</v>
      </c>
      <c r="W28" s="82"/>
      <c r="X28" s="41">
        <f t="shared" ref="X28:Y33" si="60">ROUND(C28/(1-$X$1)*1.2,2)</f>
        <v>59.74</v>
      </c>
      <c r="Y28" s="41">
        <f t="shared" si="60"/>
        <v>70.22</v>
      </c>
      <c r="AA28" s="182">
        <f>ROUNDDOWN(C28/(1-$X$1)*1.2,1)</f>
        <v>59.7</v>
      </c>
      <c r="AB28" s="182">
        <f>ROUNDDOWN(D28/(1-$X$1)*1.2,1)</f>
        <v>70.2</v>
      </c>
      <c r="AD28" s="40">
        <f t="shared" ref="AD28:AE33" si="61">AA28/1.2</f>
        <v>49.750000000000007</v>
      </c>
      <c r="AE28" s="40">
        <f t="shared" si="61"/>
        <v>58.500000000000007</v>
      </c>
      <c r="AG28" s="40">
        <f>X28-AA28</f>
        <v>3.9999999999999147E-2</v>
      </c>
      <c r="AH28" s="40">
        <f>Y28-AB28</f>
        <v>1.9999999999996021E-2</v>
      </c>
      <c r="AJ28" s="40">
        <f t="shared" ref="AJ28:AK33" si="62">ROUND(L28*(1-(1/(1+$AL$1))),2)</f>
        <v>2.95</v>
      </c>
      <c r="AK28" s="40">
        <f t="shared" si="62"/>
        <v>3.46</v>
      </c>
      <c r="AL28" s="40"/>
      <c r="AM28" s="180">
        <f>SUM(U28-F28)-AG28</f>
        <v>20.270240000000001</v>
      </c>
      <c r="AN28" s="180">
        <f>SUM(V28-G28)-AH28</f>
        <v>23.85616000000001</v>
      </c>
      <c r="AP28" s="76">
        <f t="shared" ref="AP28:AQ33" si="63">(SUM(F28-C28)/C28)*$X$1</f>
        <v>9.1999999999999998E-2</v>
      </c>
      <c r="AQ28" s="76">
        <f t="shared" si="63"/>
        <v>9.1999999999999929E-2</v>
      </c>
      <c r="AS28" s="76">
        <f t="shared" ref="AS28:AT33" si="64">AM28/U28</f>
        <v>0.40719646444355162</v>
      </c>
      <c r="AT28" s="76">
        <f t="shared" si="64"/>
        <v>0.40765823650034189</v>
      </c>
      <c r="AV28" s="76">
        <f t="shared" ref="AV28:AW33" si="65">C28/U28</f>
        <v>0.5</v>
      </c>
      <c r="AW28" s="76">
        <f t="shared" si="65"/>
        <v>0.5</v>
      </c>
      <c r="AX28" s="42"/>
      <c r="AY28" s="42">
        <f t="shared" ref="AY28:AZ33" si="66">I28+AM28</f>
        <v>24.85</v>
      </c>
      <c r="AZ28" s="42">
        <f t="shared" si="66"/>
        <v>29.240000000000006</v>
      </c>
      <c r="BA28" s="42"/>
      <c r="BB28" s="76">
        <f t="shared" ref="BB28:BC33" si="67">AY28/(C28/$X$1)</f>
        <v>0.49919646444355165</v>
      </c>
      <c r="BC28" s="76">
        <f t="shared" si="67"/>
        <v>0.49965823650034186</v>
      </c>
    </row>
    <row r="29" spans="2:55" x14ac:dyDescent="0.25">
      <c r="B29" s="25" t="s">
        <v>24</v>
      </c>
      <c r="C29" s="149">
        <v>29.7</v>
      </c>
      <c r="D29" s="149">
        <v>34.79</v>
      </c>
      <c r="E29" s="41"/>
      <c r="F29" s="41">
        <f t="shared" si="54"/>
        <v>35.1648</v>
      </c>
      <c r="G29" s="41">
        <f t="shared" si="54"/>
        <v>41.191359999999996</v>
      </c>
      <c r="H29" s="82"/>
      <c r="I29" s="41">
        <f t="shared" si="55"/>
        <v>5.4648000000000003</v>
      </c>
      <c r="J29" s="41">
        <f t="shared" si="55"/>
        <v>6.4013599999999968</v>
      </c>
      <c r="K29" s="82"/>
      <c r="L29" s="41">
        <f t="shared" si="56"/>
        <v>38.676000000000002</v>
      </c>
      <c r="M29" s="41">
        <f t="shared" si="56"/>
        <v>45.309000000000005</v>
      </c>
      <c r="N29" s="82"/>
      <c r="O29" s="41">
        <f t="shared" si="57"/>
        <v>8.9760000000000026</v>
      </c>
      <c r="P29" s="41">
        <f t="shared" si="57"/>
        <v>10.519000000000005</v>
      </c>
      <c r="Q29" s="82"/>
      <c r="R29" s="76">
        <f t="shared" si="58"/>
        <v>0.10010010010010011</v>
      </c>
      <c r="S29" s="76">
        <f t="shared" si="58"/>
        <v>0.10002097527248434</v>
      </c>
      <c r="T29" s="82"/>
      <c r="U29" s="41">
        <f t="shared" si="59"/>
        <v>59.4</v>
      </c>
      <c r="V29" s="41">
        <f t="shared" si="59"/>
        <v>69.58</v>
      </c>
      <c r="W29" s="82"/>
      <c r="X29" s="41">
        <f t="shared" si="60"/>
        <v>71.28</v>
      </c>
      <c r="Y29" s="41">
        <f t="shared" si="60"/>
        <v>83.5</v>
      </c>
      <c r="AA29" s="182">
        <f t="shared" ref="AA29:AB32" si="68">ROUNDDOWN(C29/(1-$X$1)*1.2,1)</f>
        <v>71.2</v>
      </c>
      <c r="AB29" s="182">
        <f t="shared" si="68"/>
        <v>83.4</v>
      </c>
      <c r="AD29" s="40">
        <f t="shared" si="61"/>
        <v>59.333333333333336</v>
      </c>
      <c r="AE29" s="40">
        <f t="shared" si="61"/>
        <v>69.500000000000014</v>
      </c>
      <c r="AG29" s="40">
        <f t="shared" ref="AG29:AH33" si="69">X29-AA29</f>
        <v>7.9999999999998295E-2</v>
      </c>
      <c r="AH29" s="40">
        <f t="shared" si="69"/>
        <v>9.9999999999994316E-2</v>
      </c>
      <c r="AJ29" s="40">
        <f t="shared" si="62"/>
        <v>3.52</v>
      </c>
      <c r="AK29" s="40">
        <f t="shared" si="62"/>
        <v>4.12</v>
      </c>
      <c r="AL29" s="40"/>
      <c r="AM29" s="180">
        <f t="shared" ref="AM29:AM33" si="70">SUM(U29-F29)-AG29</f>
        <v>24.155200000000001</v>
      </c>
      <c r="AN29" s="180">
        <f t="shared" ref="AN29:AN33" si="71">SUM(V29-G29)-AH29</f>
        <v>28.288640000000008</v>
      </c>
      <c r="AP29" s="76">
        <f t="shared" si="63"/>
        <v>9.2000000000000012E-2</v>
      </c>
      <c r="AQ29" s="76">
        <f t="shared" si="63"/>
        <v>9.1999999999999957E-2</v>
      </c>
      <c r="AS29" s="76">
        <f t="shared" si="64"/>
        <v>0.40665319865319866</v>
      </c>
      <c r="AT29" s="76">
        <f t="shared" si="64"/>
        <v>0.40656280540385181</v>
      </c>
      <c r="AV29" s="76">
        <f t="shared" si="65"/>
        <v>0.5</v>
      </c>
      <c r="AW29" s="76">
        <f t="shared" si="65"/>
        <v>0.5</v>
      </c>
      <c r="AX29" s="42"/>
      <c r="AY29" s="42">
        <f t="shared" si="66"/>
        <v>29.62</v>
      </c>
      <c r="AZ29" s="42">
        <f t="shared" si="66"/>
        <v>34.690000000000005</v>
      </c>
      <c r="BA29" s="42"/>
      <c r="BB29" s="76">
        <f t="shared" si="67"/>
        <v>0.49865319865319868</v>
      </c>
      <c r="BC29" s="76">
        <f t="shared" si="67"/>
        <v>0.49856280540385178</v>
      </c>
    </row>
    <row r="30" spans="2:55" x14ac:dyDescent="0.25">
      <c r="B30" s="25" t="s">
        <v>25</v>
      </c>
      <c r="C30" s="149">
        <v>36.17</v>
      </c>
      <c r="D30" s="149">
        <v>39.99</v>
      </c>
      <c r="E30" s="41"/>
      <c r="F30" s="41">
        <f t="shared" si="54"/>
        <v>42.825279999999999</v>
      </c>
      <c r="G30" s="41">
        <f t="shared" si="54"/>
        <v>47.34816</v>
      </c>
      <c r="H30" s="82"/>
      <c r="I30" s="41">
        <f t="shared" si="55"/>
        <v>6.6552799999999976</v>
      </c>
      <c r="J30" s="41">
        <f t="shared" si="55"/>
        <v>7.358159999999998</v>
      </c>
      <c r="K30" s="82"/>
      <c r="L30" s="41">
        <f t="shared" si="56"/>
        <v>47.113</v>
      </c>
      <c r="M30" s="41">
        <f t="shared" si="56"/>
        <v>52.085000000000008</v>
      </c>
      <c r="N30" s="82"/>
      <c r="O30" s="41">
        <f t="shared" si="57"/>
        <v>10.942999999999998</v>
      </c>
      <c r="P30" s="41">
        <f t="shared" si="57"/>
        <v>12.095000000000006</v>
      </c>
      <c r="Q30" s="82"/>
      <c r="R30" s="76">
        <f t="shared" si="58"/>
        <v>9.9940969446084188E-2</v>
      </c>
      <c r="S30" s="76">
        <f t="shared" si="58"/>
        <v>0.10010948683116726</v>
      </c>
      <c r="T30" s="82"/>
      <c r="U30" s="41">
        <f t="shared" si="59"/>
        <v>72.34</v>
      </c>
      <c r="V30" s="41">
        <f t="shared" si="59"/>
        <v>79.98</v>
      </c>
      <c r="W30" s="82"/>
      <c r="X30" s="41">
        <f t="shared" si="60"/>
        <v>86.81</v>
      </c>
      <c r="Y30" s="41">
        <f t="shared" si="60"/>
        <v>95.98</v>
      </c>
      <c r="AA30" s="182">
        <f t="shared" si="68"/>
        <v>86.8</v>
      </c>
      <c r="AB30" s="182">
        <f t="shared" si="68"/>
        <v>95.9</v>
      </c>
      <c r="AD30" s="40">
        <f t="shared" si="61"/>
        <v>72.333333333333329</v>
      </c>
      <c r="AE30" s="40">
        <f t="shared" si="61"/>
        <v>79.916666666666671</v>
      </c>
      <c r="AG30" s="40">
        <f t="shared" si="69"/>
        <v>1.0000000000005116E-2</v>
      </c>
      <c r="AH30" s="40">
        <f t="shared" si="69"/>
        <v>7.9999999999998295E-2</v>
      </c>
      <c r="AJ30" s="40">
        <f t="shared" si="62"/>
        <v>4.28</v>
      </c>
      <c r="AK30" s="40">
        <f t="shared" si="62"/>
        <v>4.74</v>
      </c>
      <c r="AL30" s="40"/>
      <c r="AM30" s="180">
        <f t="shared" si="70"/>
        <v>29.504719999999999</v>
      </c>
      <c r="AN30" s="180">
        <f t="shared" si="71"/>
        <v>32.551840000000006</v>
      </c>
      <c r="AP30" s="76">
        <f t="shared" si="63"/>
        <v>9.1999999999999957E-2</v>
      </c>
      <c r="AQ30" s="76">
        <f t="shared" si="63"/>
        <v>9.1999999999999971E-2</v>
      </c>
      <c r="AS30" s="76">
        <f t="shared" si="64"/>
        <v>0.40786176389272877</v>
      </c>
      <c r="AT30" s="76">
        <f t="shared" si="64"/>
        <v>0.40699974993748445</v>
      </c>
      <c r="AV30" s="76">
        <f t="shared" si="65"/>
        <v>0.5</v>
      </c>
      <c r="AW30" s="76">
        <f t="shared" si="65"/>
        <v>0.5</v>
      </c>
      <c r="AX30" s="42"/>
      <c r="AY30" s="42">
        <f t="shared" si="66"/>
        <v>36.159999999999997</v>
      </c>
      <c r="AZ30" s="42">
        <f t="shared" si="66"/>
        <v>39.910000000000004</v>
      </c>
      <c r="BA30" s="42"/>
      <c r="BB30" s="76">
        <f t="shared" si="67"/>
        <v>0.49986176389272868</v>
      </c>
      <c r="BC30" s="76">
        <f t="shared" si="67"/>
        <v>0.49899974993748442</v>
      </c>
    </row>
    <row r="31" spans="2:55" x14ac:dyDescent="0.25">
      <c r="B31" s="25" t="s">
        <v>33</v>
      </c>
      <c r="C31" s="149">
        <v>44.83</v>
      </c>
      <c r="D31" s="149">
        <v>51.25</v>
      </c>
      <c r="E31" s="41"/>
      <c r="F31" s="41">
        <f t="shared" si="54"/>
        <v>53.078719999999997</v>
      </c>
      <c r="G31" s="41">
        <f t="shared" si="54"/>
        <v>60.68</v>
      </c>
      <c r="H31" s="82"/>
      <c r="I31" s="41">
        <f t="shared" si="55"/>
        <v>8.2487199999999987</v>
      </c>
      <c r="J31" s="41">
        <f t="shared" si="55"/>
        <v>9.43</v>
      </c>
      <c r="K31" s="82"/>
      <c r="L31" s="41">
        <f t="shared" si="56"/>
        <v>58.388000000000005</v>
      </c>
      <c r="M31" s="41">
        <f t="shared" si="56"/>
        <v>66.748000000000005</v>
      </c>
      <c r="N31" s="82"/>
      <c r="O31" s="41">
        <f t="shared" si="57"/>
        <v>13.558000000000007</v>
      </c>
      <c r="P31" s="41">
        <f t="shared" si="57"/>
        <v>15.498000000000005</v>
      </c>
      <c r="Q31" s="82"/>
      <c r="R31" s="76">
        <f t="shared" si="58"/>
        <v>0.10004009139632605</v>
      </c>
      <c r="S31" s="76">
        <f t="shared" si="58"/>
        <v>0.10003295978905735</v>
      </c>
      <c r="T31" s="82"/>
      <c r="U31" s="41">
        <f t="shared" si="59"/>
        <v>89.66</v>
      </c>
      <c r="V31" s="41">
        <f t="shared" si="59"/>
        <v>102.5</v>
      </c>
      <c r="W31" s="82"/>
      <c r="X31" s="41">
        <f t="shared" si="60"/>
        <v>107.59</v>
      </c>
      <c r="Y31" s="41">
        <f t="shared" si="60"/>
        <v>123</v>
      </c>
      <c r="AA31" s="182">
        <f t="shared" si="68"/>
        <v>107.5</v>
      </c>
      <c r="AB31" s="182">
        <f t="shared" si="68"/>
        <v>123</v>
      </c>
      <c r="AD31" s="40">
        <f t="shared" si="61"/>
        <v>89.583333333333343</v>
      </c>
      <c r="AE31" s="40">
        <f t="shared" si="61"/>
        <v>102.5</v>
      </c>
      <c r="AG31" s="40">
        <f t="shared" si="69"/>
        <v>9.0000000000003411E-2</v>
      </c>
      <c r="AH31" s="40">
        <f t="shared" si="69"/>
        <v>0</v>
      </c>
      <c r="AJ31" s="40">
        <f t="shared" si="62"/>
        <v>5.31</v>
      </c>
      <c r="AK31" s="40">
        <f t="shared" si="62"/>
        <v>6.07</v>
      </c>
      <c r="AL31" s="40"/>
      <c r="AM31" s="180">
        <f t="shared" si="70"/>
        <v>36.491279999999996</v>
      </c>
      <c r="AN31" s="180">
        <f t="shared" si="71"/>
        <v>41.82</v>
      </c>
      <c r="AP31" s="76">
        <f t="shared" si="63"/>
        <v>9.1999999999999985E-2</v>
      </c>
      <c r="AQ31" s="76">
        <f t="shared" si="63"/>
        <v>9.1999999999999998E-2</v>
      </c>
      <c r="AS31" s="76">
        <f t="shared" si="64"/>
        <v>0.40699620789649787</v>
      </c>
      <c r="AT31" s="76">
        <f t="shared" si="64"/>
        <v>0.40800000000000003</v>
      </c>
      <c r="AV31" s="76">
        <f t="shared" si="65"/>
        <v>0.5</v>
      </c>
      <c r="AW31" s="76">
        <f t="shared" si="65"/>
        <v>0.5</v>
      </c>
      <c r="AX31" s="42"/>
      <c r="AY31" s="42">
        <f t="shared" si="66"/>
        <v>44.739999999999995</v>
      </c>
      <c r="AZ31" s="42">
        <f t="shared" si="66"/>
        <v>51.25</v>
      </c>
      <c r="BA31" s="42"/>
      <c r="BB31" s="76">
        <f t="shared" si="67"/>
        <v>0.49899620789649785</v>
      </c>
      <c r="BC31" s="76">
        <f t="shared" si="67"/>
        <v>0.5</v>
      </c>
    </row>
    <row r="32" spans="2:55" x14ac:dyDescent="0.25">
      <c r="B32" s="25" t="s">
        <v>27</v>
      </c>
      <c r="C32" s="149">
        <v>49.24</v>
      </c>
      <c r="D32" s="149">
        <v>55.3</v>
      </c>
      <c r="E32" s="41"/>
      <c r="F32" s="41">
        <f t="shared" si="54"/>
        <v>58.300159999999998</v>
      </c>
      <c r="G32" s="41">
        <f t="shared" si="54"/>
        <v>65.475199999999987</v>
      </c>
      <c r="H32" s="82"/>
      <c r="I32" s="41">
        <f t="shared" si="55"/>
        <v>9.0601599999999962</v>
      </c>
      <c r="J32" s="41">
        <f t="shared" si="55"/>
        <v>10.17519999999999</v>
      </c>
      <c r="K32" s="82"/>
      <c r="L32" s="41">
        <f t="shared" si="56"/>
        <v>64.13</v>
      </c>
      <c r="M32" s="41">
        <f t="shared" si="56"/>
        <v>72.028000000000006</v>
      </c>
      <c r="N32" s="82"/>
      <c r="O32" s="41">
        <f t="shared" si="57"/>
        <v>14.889999999999993</v>
      </c>
      <c r="P32" s="41">
        <f t="shared" si="57"/>
        <v>16.728000000000009</v>
      </c>
      <c r="Q32" s="82"/>
      <c r="R32" s="76">
        <f t="shared" si="58"/>
        <v>9.9999725558214597E-2</v>
      </c>
      <c r="S32" s="76">
        <f t="shared" si="58"/>
        <v>0.10003787693661113</v>
      </c>
      <c r="T32" s="82"/>
      <c r="U32" s="41">
        <f t="shared" si="59"/>
        <v>98.48</v>
      </c>
      <c r="V32" s="41">
        <f t="shared" si="59"/>
        <v>110.6</v>
      </c>
      <c r="W32" s="82"/>
      <c r="X32" s="41">
        <f t="shared" si="60"/>
        <v>118.18</v>
      </c>
      <c r="Y32" s="41">
        <f t="shared" si="60"/>
        <v>132.72</v>
      </c>
      <c r="AA32" s="182">
        <f t="shared" si="68"/>
        <v>118.1</v>
      </c>
      <c r="AB32" s="182">
        <f t="shared" si="68"/>
        <v>132.69999999999999</v>
      </c>
      <c r="AD32" s="40">
        <f t="shared" si="61"/>
        <v>98.416666666666671</v>
      </c>
      <c r="AE32" s="40">
        <f t="shared" si="61"/>
        <v>110.58333333333333</v>
      </c>
      <c r="AG32" s="40">
        <f t="shared" si="69"/>
        <v>8.0000000000012506E-2</v>
      </c>
      <c r="AH32" s="40">
        <f t="shared" si="69"/>
        <v>2.0000000000010232E-2</v>
      </c>
      <c r="AJ32" s="40">
        <f t="shared" si="62"/>
        <v>5.83</v>
      </c>
      <c r="AK32" s="40">
        <f t="shared" si="62"/>
        <v>6.55</v>
      </c>
      <c r="AL32" s="40"/>
      <c r="AM32" s="180">
        <f t="shared" si="70"/>
        <v>40.099839999999993</v>
      </c>
      <c r="AN32" s="180">
        <f t="shared" si="71"/>
        <v>45.104799999999997</v>
      </c>
      <c r="AP32" s="76">
        <f t="shared" si="63"/>
        <v>9.1999999999999957E-2</v>
      </c>
      <c r="AQ32" s="76">
        <f t="shared" si="63"/>
        <v>9.1999999999999915E-2</v>
      </c>
      <c r="AS32" s="76">
        <f t="shared" si="64"/>
        <v>0.40718765231519083</v>
      </c>
      <c r="AT32" s="76">
        <f t="shared" si="64"/>
        <v>0.40781916817359853</v>
      </c>
      <c r="AV32" s="76">
        <f t="shared" si="65"/>
        <v>0.5</v>
      </c>
      <c r="AW32" s="76">
        <f t="shared" si="65"/>
        <v>0.5</v>
      </c>
      <c r="AX32" s="42"/>
      <c r="AY32" s="42">
        <f t="shared" si="66"/>
        <v>49.159999999999989</v>
      </c>
      <c r="AZ32" s="42">
        <f t="shared" si="66"/>
        <v>55.279999999999987</v>
      </c>
      <c r="BA32" s="42"/>
      <c r="BB32" s="76">
        <f t="shared" si="67"/>
        <v>0.4991876523151908</v>
      </c>
      <c r="BC32" s="76">
        <f t="shared" si="67"/>
        <v>0.49981916817359845</v>
      </c>
    </row>
    <row r="33" spans="1:55" x14ac:dyDescent="0.25">
      <c r="B33" s="25" t="s">
        <v>29</v>
      </c>
      <c r="C33" s="149">
        <v>7.74</v>
      </c>
      <c r="D33" s="149">
        <v>8.3800000000000008</v>
      </c>
      <c r="E33" s="41"/>
      <c r="F33" s="41">
        <f t="shared" si="54"/>
        <v>9.164159999999999</v>
      </c>
      <c r="G33" s="41">
        <f t="shared" si="54"/>
        <v>9.9219200000000001</v>
      </c>
      <c r="H33" s="82"/>
      <c r="I33" s="41">
        <f t="shared" si="55"/>
        <v>1.4241599999999988</v>
      </c>
      <c r="J33" s="41">
        <f t="shared" si="55"/>
        <v>1.5419199999999993</v>
      </c>
      <c r="K33" s="82"/>
      <c r="L33" s="41">
        <f t="shared" si="56"/>
        <v>10.076000000000001</v>
      </c>
      <c r="M33" s="41">
        <f t="shared" si="56"/>
        <v>10.912000000000001</v>
      </c>
      <c r="N33" s="82"/>
      <c r="O33" s="41">
        <f>L33-C33</f>
        <v>2.3360000000000003</v>
      </c>
      <c r="P33" s="41">
        <f>M33-D33</f>
        <v>2.532</v>
      </c>
      <c r="Q33" s="82"/>
      <c r="R33" s="76">
        <f t="shared" si="58"/>
        <v>0.1003910887631818</v>
      </c>
      <c r="S33" s="76">
        <f t="shared" si="58"/>
        <v>9.97790750177385E-2</v>
      </c>
      <c r="T33" s="82"/>
      <c r="U33" s="41">
        <f t="shared" si="59"/>
        <v>15.48</v>
      </c>
      <c r="V33" s="41">
        <f t="shared" si="59"/>
        <v>16.760000000000002</v>
      </c>
      <c r="W33" s="82"/>
      <c r="X33" s="41">
        <f t="shared" si="60"/>
        <v>18.579999999999998</v>
      </c>
      <c r="Y33" s="41">
        <f t="shared" si="60"/>
        <v>20.11</v>
      </c>
      <c r="AA33" s="182">
        <f>ROUNDDOWN(C33/(1-$X$1)*1.2,1)</f>
        <v>18.5</v>
      </c>
      <c r="AB33" s="182">
        <f>ROUNDDOWN(D33/(1-$X$1)*1.2,1)</f>
        <v>20.100000000000001</v>
      </c>
      <c r="AD33" s="40">
        <f t="shared" si="61"/>
        <v>15.416666666666668</v>
      </c>
      <c r="AE33" s="40">
        <f t="shared" si="61"/>
        <v>16.750000000000004</v>
      </c>
      <c r="AG33" s="40">
        <f t="shared" si="69"/>
        <v>7.9999999999998295E-2</v>
      </c>
      <c r="AH33" s="40">
        <f t="shared" si="69"/>
        <v>9.9999999999980105E-3</v>
      </c>
      <c r="AJ33" s="40">
        <f t="shared" si="62"/>
        <v>0.92</v>
      </c>
      <c r="AK33" s="40">
        <f t="shared" si="62"/>
        <v>0.99</v>
      </c>
      <c r="AL33" s="40"/>
      <c r="AM33" s="180">
        <f t="shared" si="70"/>
        <v>6.2358400000000032</v>
      </c>
      <c r="AN33" s="180">
        <f t="shared" si="71"/>
        <v>6.8280800000000035</v>
      </c>
      <c r="AP33" s="76">
        <f t="shared" si="63"/>
        <v>9.1999999999999915E-2</v>
      </c>
      <c r="AQ33" s="76">
        <f t="shared" si="63"/>
        <v>9.1999999999999943E-2</v>
      </c>
      <c r="AS33" s="76">
        <f t="shared" si="64"/>
        <v>0.40283204134366946</v>
      </c>
      <c r="AT33" s="76">
        <f t="shared" si="64"/>
        <v>0.40740334128878297</v>
      </c>
      <c r="AV33" s="76">
        <f t="shared" si="65"/>
        <v>0.5</v>
      </c>
      <c r="AW33" s="76">
        <f t="shared" si="65"/>
        <v>0.5</v>
      </c>
      <c r="AX33" s="42"/>
      <c r="AY33" s="42">
        <f t="shared" si="66"/>
        <v>7.6600000000000019</v>
      </c>
      <c r="AZ33" s="42">
        <f t="shared" si="66"/>
        <v>8.3700000000000028</v>
      </c>
      <c r="BA33" s="42"/>
      <c r="BB33" s="76">
        <f t="shared" si="67"/>
        <v>0.49483204134366937</v>
      </c>
      <c r="BC33" s="76">
        <f t="shared" si="67"/>
        <v>0.49940334128878294</v>
      </c>
    </row>
    <row r="34" spans="1:55" x14ac:dyDescent="0.25">
      <c r="C34" s="39"/>
      <c r="D34" s="39"/>
      <c r="E34" s="39"/>
      <c r="F34" s="39"/>
      <c r="L34" s="41"/>
      <c r="M34" s="39"/>
      <c r="U34" s="41"/>
      <c r="V34" s="41"/>
      <c r="W34" s="39"/>
      <c r="AK34" s="76"/>
      <c r="AL34" s="76"/>
      <c r="AM34" s="76"/>
    </row>
    <row r="35" spans="1:55" x14ac:dyDescent="0.25">
      <c r="A35" s="4" t="s">
        <v>34</v>
      </c>
      <c r="C35" s="40"/>
      <c r="D35" s="40"/>
      <c r="E35" s="40"/>
      <c r="F35" s="40"/>
      <c r="L35" s="40"/>
      <c r="M35" s="40"/>
      <c r="AK35" s="76"/>
      <c r="AL35" s="76"/>
      <c r="AM35" s="76"/>
    </row>
    <row r="36" spans="1:55" x14ac:dyDescent="0.25">
      <c r="C36" s="40"/>
      <c r="D36" s="40"/>
      <c r="E36" s="40"/>
      <c r="F36" s="40"/>
      <c r="M36" s="40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K36" s="76"/>
      <c r="AL36" s="76"/>
      <c r="AM36" s="76"/>
    </row>
    <row r="37" spans="1:55" x14ac:dyDescent="0.25">
      <c r="A37" s="25" t="s">
        <v>35</v>
      </c>
      <c r="B37" s="1" t="s">
        <v>36</v>
      </c>
      <c r="D37" s="40"/>
      <c r="E37" s="40"/>
      <c r="F37" s="40"/>
      <c r="G37" s="40"/>
      <c r="H37" s="40"/>
      <c r="I37" s="40"/>
      <c r="J37" s="40"/>
      <c r="K37" s="40"/>
      <c r="N37" s="40"/>
      <c r="O37" s="40"/>
      <c r="P37" s="40"/>
      <c r="Q37" s="40"/>
      <c r="R37" s="40"/>
      <c r="S37" s="40"/>
      <c r="T37" s="40"/>
      <c r="AK37" s="76"/>
      <c r="AL37" s="76"/>
      <c r="AM37" s="76"/>
    </row>
    <row r="38" spans="1:55" x14ac:dyDescent="0.25">
      <c r="A38" s="25" t="s">
        <v>37</v>
      </c>
      <c r="B38" s="1" t="s">
        <v>38</v>
      </c>
      <c r="D38" s="40"/>
      <c r="E38" s="40"/>
      <c r="F38" s="40"/>
      <c r="N38" s="40"/>
      <c r="O38" s="40"/>
      <c r="P38" s="40"/>
      <c r="Q38" s="40"/>
      <c r="R38" s="40"/>
      <c r="S38" s="40"/>
      <c r="T38" s="40"/>
      <c r="AK38" s="76"/>
      <c r="AL38" s="76"/>
      <c r="AM38" s="76"/>
    </row>
    <row r="39" spans="1:55" x14ac:dyDescent="0.25">
      <c r="A39" s="25" t="s">
        <v>39</v>
      </c>
      <c r="B39" s="1" t="s">
        <v>40</v>
      </c>
      <c r="D39" s="40"/>
      <c r="E39" s="40"/>
      <c r="F39" s="40"/>
      <c r="AK39" s="76"/>
      <c r="AL39" s="76"/>
      <c r="AM39" s="76"/>
    </row>
    <row r="40" spans="1:55" x14ac:dyDescent="0.25">
      <c r="A40" s="25" t="s">
        <v>41</v>
      </c>
      <c r="B40" s="1" t="s">
        <v>42</v>
      </c>
      <c r="D40" s="40"/>
      <c r="E40" s="40"/>
      <c r="F40" s="40"/>
      <c r="AK40" s="76"/>
      <c r="AL40" s="76"/>
      <c r="AM40" s="76"/>
    </row>
    <row r="41" spans="1:55" x14ac:dyDescent="0.25">
      <c r="A41" s="25" t="s">
        <v>43</v>
      </c>
      <c r="B41" s="1" t="s">
        <v>44</v>
      </c>
      <c r="D41" s="40"/>
      <c r="E41" s="40"/>
      <c r="F41" s="40"/>
      <c r="AK41" s="76"/>
      <c r="AL41" s="76"/>
      <c r="AM41" s="76"/>
    </row>
    <row r="42" spans="1:55" x14ac:dyDescent="0.25">
      <c r="A42" s="25" t="s">
        <v>45</v>
      </c>
      <c r="B42" s="1" t="s">
        <v>46</v>
      </c>
      <c r="D42" s="40"/>
      <c r="E42" s="40"/>
      <c r="F42" s="40"/>
      <c r="AK42" s="76"/>
      <c r="AL42" s="76"/>
      <c r="AM42" s="76"/>
    </row>
    <row r="43" spans="1:55" x14ac:dyDescent="0.25">
      <c r="A43" s="25"/>
      <c r="AK43" s="76"/>
      <c r="AL43" s="76"/>
      <c r="AM43" s="76"/>
    </row>
    <row r="44" spans="1:55" x14ac:dyDescent="0.25">
      <c r="A44" s="118" t="s">
        <v>47</v>
      </c>
      <c r="B44" s="1" t="s">
        <v>48</v>
      </c>
      <c r="G44" s="40"/>
      <c r="H44" s="40"/>
      <c r="I44" s="40"/>
      <c r="J44" s="40"/>
      <c r="K44" s="40"/>
      <c r="N44" s="40"/>
      <c r="O44" s="40"/>
      <c r="P44" s="40"/>
      <c r="Q44" s="40"/>
      <c r="R44" s="40"/>
      <c r="S44" s="40"/>
      <c r="T44" s="40"/>
      <c r="AK44" s="76"/>
      <c r="AL44" s="76"/>
      <c r="AM44" s="76"/>
    </row>
    <row r="45" spans="1:55" x14ac:dyDescent="0.25">
      <c r="A45" s="118" t="s">
        <v>49</v>
      </c>
      <c r="B45" s="52" t="s">
        <v>50</v>
      </c>
      <c r="AK45" s="76"/>
      <c r="AL45" s="76"/>
      <c r="AM45" s="76"/>
    </row>
    <row r="46" spans="1:55" x14ac:dyDescent="0.25">
      <c r="A46" s="25"/>
      <c r="AK46" s="76"/>
      <c r="AL46" s="76"/>
      <c r="AM46" s="76"/>
    </row>
    <row r="47" spans="1:55" x14ac:dyDescent="0.25">
      <c r="A47" s="164" t="s">
        <v>51</v>
      </c>
      <c r="B47" s="165" t="s">
        <v>52</v>
      </c>
      <c r="C47" s="166"/>
      <c r="D47" s="166"/>
      <c r="E47" s="166"/>
      <c r="F47" s="166"/>
      <c r="G47" s="166"/>
      <c r="H47" s="166"/>
      <c r="AK47" s="76"/>
      <c r="AL47" s="76"/>
      <c r="AM47" s="76"/>
    </row>
    <row r="48" spans="1:55" ht="47.25" customHeight="1" x14ac:dyDescent="0.25">
      <c r="A48" s="198" t="s">
        <v>53</v>
      </c>
      <c r="B48" s="216" t="s">
        <v>54</v>
      </c>
      <c r="C48" s="216"/>
      <c r="D48" s="216"/>
      <c r="E48" s="216"/>
      <c r="F48" s="216"/>
      <c r="G48" s="216"/>
      <c r="H48" s="216"/>
      <c r="I48" s="216"/>
      <c r="J48" s="216"/>
      <c r="K48" s="216"/>
      <c r="L48" s="216"/>
      <c r="M48" s="216"/>
      <c r="AK48" s="76"/>
      <c r="AL48" s="76"/>
      <c r="AM48" s="76"/>
    </row>
    <row r="49" spans="1:66" x14ac:dyDescent="0.25">
      <c r="A49" s="25"/>
    </row>
    <row r="50" spans="1:66" x14ac:dyDescent="0.25">
      <c r="A50" s="25" t="s">
        <v>55</v>
      </c>
      <c r="B50" s="1" t="s">
        <v>56</v>
      </c>
    </row>
    <row r="51" spans="1:66" x14ac:dyDescent="0.25">
      <c r="A51" s="25"/>
      <c r="B51" s="1" t="s">
        <v>57</v>
      </c>
    </row>
    <row r="52" spans="1:66" x14ac:dyDescent="0.25">
      <c r="A52" s="25"/>
      <c r="B52" s="1" t="s">
        <v>58</v>
      </c>
    </row>
    <row r="53" spans="1:66" x14ac:dyDescent="0.25">
      <c r="A53" s="25"/>
    </row>
    <row r="54" spans="1:66" s="80" customFormat="1" x14ac:dyDescent="0.25">
      <c r="A54" s="79" t="s">
        <v>59</v>
      </c>
      <c r="B54" s="80" t="s">
        <v>60</v>
      </c>
    </row>
    <row r="55" spans="1:66" x14ac:dyDescent="0.25">
      <c r="A55" s="25"/>
    </row>
    <row r="56" spans="1:66" x14ac:dyDescent="0.25">
      <c r="A56" s="25" t="s">
        <v>61</v>
      </c>
      <c r="B56" s="1" t="s">
        <v>62</v>
      </c>
    </row>
    <row r="57" spans="1:66" x14ac:dyDescent="0.25">
      <c r="A57" s="25"/>
    </row>
    <row r="58" spans="1:66" ht="45" customHeight="1" x14ac:dyDescent="0.25">
      <c r="B58" s="39"/>
      <c r="C58" s="217" t="s">
        <v>2</v>
      </c>
      <c r="D58" s="217"/>
      <c r="E58" s="90"/>
      <c r="F58" s="218" t="s">
        <v>3</v>
      </c>
      <c r="G58" s="218"/>
      <c r="H58" s="52"/>
      <c r="I58" s="212" t="s">
        <v>4</v>
      </c>
      <c r="J58" s="212"/>
      <c r="K58" s="52"/>
      <c r="L58" s="219" t="s">
        <v>5</v>
      </c>
      <c r="M58" s="219"/>
      <c r="N58" s="52"/>
      <c r="O58" s="219" t="s">
        <v>6</v>
      </c>
      <c r="P58" s="219"/>
      <c r="Q58" s="52"/>
      <c r="R58" s="219" t="s">
        <v>7</v>
      </c>
      <c r="S58" s="219"/>
      <c r="T58" s="52"/>
      <c r="U58" s="214" t="s">
        <v>8</v>
      </c>
      <c r="V58" s="214"/>
      <c r="W58" s="52"/>
      <c r="X58" s="211" t="s">
        <v>9</v>
      </c>
      <c r="Y58" s="211"/>
      <c r="AA58" s="215" t="s">
        <v>10</v>
      </c>
      <c r="AB58" s="215"/>
      <c r="AD58" s="211" t="s">
        <v>11</v>
      </c>
      <c r="AE58" s="211"/>
      <c r="AG58" s="211" t="s">
        <v>12</v>
      </c>
      <c r="AH58" s="211"/>
      <c r="AJ58" s="211" t="s">
        <v>13</v>
      </c>
      <c r="AK58" s="211"/>
      <c r="AM58" s="211" t="s">
        <v>14</v>
      </c>
      <c r="AN58" s="211"/>
      <c r="AP58" s="212" t="s">
        <v>15</v>
      </c>
      <c r="AQ58" s="212"/>
      <c r="AS58" s="211" t="s">
        <v>16</v>
      </c>
      <c r="AT58" s="211"/>
      <c r="AV58" s="213" t="s">
        <v>17</v>
      </c>
      <c r="AW58" s="213"/>
      <c r="AY58" s="213" t="s">
        <v>18</v>
      </c>
      <c r="AZ58" s="213"/>
      <c r="BB58" s="213" t="s">
        <v>19</v>
      </c>
      <c r="BC58" s="213"/>
    </row>
    <row r="59" spans="1:66" s="34" customFormat="1" x14ac:dyDescent="0.25">
      <c r="C59" s="54" t="s">
        <v>20</v>
      </c>
      <c r="D59" s="54" t="s">
        <v>21</v>
      </c>
      <c r="E59" s="54"/>
      <c r="F59" s="34" t="s">
        <v>20</v>
      </c>
      <c r="G59" s="54" t="s">
        <v>21</v>
      </c>
      <c r="I59" s="34" t="s">
        <v>20</v>
      </c>
      <c r="J59" s="54" t="s">
        <v>21</v>
      </c>
      <c r="L59" s="34" t="s">
        <v>20</v>
      </c>
      <c r="M59" s="54" t="s">
        <v>21</v>
      </c>
      <c r="O59" s="34" t="s">
        <v>20</v>
      </c>
      <c r="P59" s="54" t="s">
        <v>21</v>
      </c>
      <c r="R59" s="34" t="s">
        <v>20</v>
      </c>
      <c r="S59" s="54" t="s">
        <v>21</v>
      </c>
      <c r="U59" s="34" t="s">
        <v>20</v>
      </c>
      <c r="V59" s="34" t="s">
        <v>21</v>
      </c>
      <c r="X59" s="34" t="s">
        <v>20</v>
      </c>
      <c r="Y59" s="34" t="s">
        <v>21</v>
      </c>
      <c r="AA59" s="34" t="s">
        <v>20</v>
      </c>
      <c r="AB59" s="34" t="s">
        <v>21</v>
      </c>
      <c r="AD59" s="34" t="s">
        <v>20</v>
      </c>
      <c r="AE59" s="34" t="s">
        <v>21</v>
      </c>
      <c r="AG59" s="34" t="s">
        <v>20</v>
      </c>
      <c r="AH59" s="34" t="s">
        <v>21</v>
      </c>
      <c r="AJ59" s="34" t="s">
        <v>20</v>
      </c>
      <c r="AK59" s="34" t="s">
        <v>21</v>
      </c>
      <c r="AM59" s="34" t="s">
        <v>20</v>
      </c>
      <c r="AN59" s="34" t="s">
        <v>21</v>
      </c>
      <c r="AP59" s="34" t="s">
        <v>20</v>
      </c>
      <c r="AQ59" s="34" t="s">
        <v>21</v>
      </c>
      <c r="AS59" s="34" t="s">
        <v>20</v>
      </c>
      <c r="AT59" s="34" t="s">
        <v>21</v>
      </c>
      <c r="AV59" s="34" t="s">
        <v>20</v>
      </c>
      <c r="AW59" s="54" t="s">
        <v>21</v>
      </c>
      <c r="AY59" s="34" t="s">
        <v>20</v>
      </c>
      <c r="AZ59" s="54" t="s">
        <v>21</v>
      </c>
      <c r="BB59" s="34" t="s">
        <v>20</v>
      </c>
      <c r="BC59" s="54" t="s">
        <v>21</v>
      </c>
    </row>
    <row r="60" spans="1:66" x14ac:dyDescent="0.25">
      <c r="A60" s="25"/>
      <c r="C60" s="39"/>
      <c r="D60" s="39"/>
      <c r="E60" s="39"/>
      <c r="F60" s="39"/>
      <c r="G60" s="39"/>
      <c r="H60" s="39"/>
      <c r="I60" s="39"/>
      <c r="J60" s="39"/>
      <c r="K60" s="39"/>
      <c r="L60" s="39"/>
    </row>
    <row r="61" spans="1:66" s="52" customFormat="1" ht="38.25" x14ac:dyDescent="0.25">
      <c r="A61" s="243" t="s">
        <v>85</v>
      </c>
      <c r="B61" s="50" t="s">
        <v>91</v>
      </c>
      <c r="C61" s="168">
        <v>0.93</v>
      </c>
      <c r="D61" s="168">
        <v>0.93</v>
      </c>
      <c r="E61" s="74"/>
      <c r="F61" s="74">
        <f t="shared" ref="F61:G63" si="72">C61*SUM(1+$G$1/$X$1)</f>
        <v>1.1011200000000001</v>
      </c>
      <c r="G61" s="74">
        <f t="shared" si="72"/>
        <v>1.1011200000000001</v>
      </c>
      <c r="H61" s="74"/>
      <c r="I61" s="74">
        <f>F61-C61</f>
        <v>0.17112000000000005</v>
      </c>
      <c r="J61" s="74">
        <f>G61-D61</f>
        <v>0.17112000000000005</v>
      </c>
      <c r="K61" s="51"/>
      <c r="L61" s="160">
        <f t="shared" ref="L61:M61" si="73">ROUND(C61*(1+$G$1*2),2)*SUM(1+$M$1)</f>
        <v>1.2100000000000002</v>
      </c>
      <c r="M61" s="160">
        <f t="shared" si="73"/>
        <v>1.2100000000000002</v>
      </c>
      <c r="O61" s="74">
        <f>L61-C61</f>
        <v>0.28000000000000014</v>
      </c>
      <c r="P61" s="74">
        <f>M61-D61</f>
        <v>0.28000000000000014</v>
      </c>
      <c r="R61" s="93">
        <f t="shared" ref="R61:S63" si="74">AJ61/F61</f>
        <v>9.9898285382156338E-2</v>
      </c>
      <c r="S61" s="93">
        <f t="shared" si="74"/>
        <v>9.9898285382156338E-2</v>
      </c>
      <c r="U61" s="74">
        <f t="shared" ref="U61:V63" si="75">SUM(C61/(1-$X$1))</f>
        <v>1.86</v>
      </c>
      <c r="V61" s="74">
        <f t="shared" si="75"/>
        <v>1.86</v>
      </c>
      <c r="X61" s="74">
        <f t="shared" ref="X61:Y63" si="76">ROUND(C61/(1-$X$1)*1.2,2)</f>
        <v>2.23</v>
      </c>
      <c r="Y61" s="74">
        <f t="shared" si="76"/>
        <v>2.23</v>
      </c>
      <c r="Z61" s="94"/>
      <c r="AA61" s="183">
        <f>ROUNDDOWN(C61/(1-$X$1)*1.2,1)</f>
        <v>2.2000000000000002</v>
      </c>
      <c r="AB61" s="183">
        <f>ROUNDDOWN(D61/(1-$X$1)*1.2,1)</f>
        <v>2.2000000000000002</v>
      </c>
      <c r="AD61" s="94">
        <f>AA61/1.2</f>
        <v>1.8333333333333335</v>
      </c>
      <c r="AE61" s="94">
        <f t="shared" ref="AE61:AE63" si="77">AB61/1.2</f>
        <v>1.8333333333333335</v>
      </c>
      <c r="AG61" s="94">
        <f>X61-AA61</f>
        <v>2.9999999999999805E-2</v>
      </c>
      <c r="AH61" s="94">
        <f>Y61-AB61</f>
        <v>2.9999999999999805E-2</v>
      </c>
      <c r="AI61" s="94"/>
      <c r="AJ61" s="94">
        <f t="shared" ref="AJ61:AK63" si="78">ROUND(L61*(1-(1/(1+$AL$1))),2)</f>
        <v>0.11</v>
      </c>
      <c r="AK61" s="94">
        <f t="shared" si="78"/>
        <v>0.11</v>
      </c>
      <c r="AL61" s="94"/>
      <c r="AM61" s="181">
        <f t="shared" ref="AM61:AM63" si="79">SUM(U61-F61)-AG61</f>
        <v>0.72888000000000019</v>
      </c>
      <c r="AN61" s="181">
        <f t="shared" ref="AN61:AN63" si="80">SUM(V61-G61)-AH61</f>
        <v>0.72888000000000019</v>
      </c>
      <c r="AP61" s="135">
        <f t="shared" ref="AP61:AQ63" si="81">(SUM(F61-C61)/C61)/2</f>
        <v>9.2000000000000026E-2</v>
      </c>
      <c r="AQ61" s="135">
        <f t="shared" si="81"/>
        <v>9.2000000000000026E-2</v>
      </c>
      <c r="AS61" s="135">
        <f t="shared" ref="AS61:AT63" si="82">AM61/U61</f>
        <v>0.39187096774193558</v>
      </c>
      <c r="AT61" s="135">
        <f t="shared" si="82"/>
        <v>0.39187096774193558</v>
      </c>
      <c r="AV61" s="93">
        <f t="shared" ref="AV61:AW63" si="83">C61/U61</f>
        <v>0.5</v>
      </c>
      <c r="AW61" s="93">
        <f t="shared" si="83"/>
        <v>0.5</v>
      </c>
      <c r="AY61" s="136">
        <f t="shared" ref="AY61:AZ63" si="84">I61+AM61</f>
        <v>0.90000000000000024</v>
      </c>
      <c r="AZ61" s="136">
        <f t="shared" si="84"/>
        <v>0.90000000000000024</v>
      </c>
      <c r="BB61" s="93">
        <f t="shared" ref="BB61:BC63" si="85">AY61/(C61/$X$1)</f>
        <v>0.48387096774193561</v>
      </c>
      <c r="BC61" s="93">
        <f t="shared" si="85"/>
        <v>0.48387096774193561</v>
      </c>
      <c r="BK61" s="125" t="e">
        <f>SUM(U61-L61)-#REF!</f>
        <v>#REF!</v>
      </c>
      <c r="BN61" s="124" t="e">
        <f>BK61/U61</f>
        <v>#REF!</v>
      </c>
    </row>
    <row r="62" spans="1:66" s="52" customFormat="1" ht="25.5" x14ac:dyDescent="0.25">
      <c r="A62" s="243"/>
      <c r="B62" s="50" t="s">
        <v>87</v>
      </c>
      <c r="C62" s="168">
        <v>1.86</v>
      </c>
      <c r="D62" s="168">
        <v>1.86</v>
      </c>
      <c r="E62" s="74"/>
      <c r="F62" s="74">
        <f t="shared" si="72"/>
        <v>2.2022400000000002</v>
      </c>
      <c r="G62" s="74">
        <f t="shared" si="72"/>
        <v>2.2022400000000002</v>
      </c>
      <c r="H62" s="74"/>
      <c r="I62" s="74">
        <f t="shared" ref="I62:J63" si="86">F62-C62</f>
        <v>0.3422400000000001</v>
      </c>
      <c r="J62" s="74">
        <f t="shared" si="86"/>
        <v>0.3422400000000001</v>
      </c>
      <c r="K62" s="51"/>
      <c r="L62" s="94">
        <f t="shared" ref="L62:M62" si="87">F62*1.1</f>
        <v>2.4224640000000006</v>
      </c>
      <c r="M62" s="94">
        <f t="shared" si="87"/>
        <v>2.4224640000000006</v>
      </c>
      <c r="O62" s="74">
        <f t="shared" ref="O62:P63" si="88">L62-C62</f>
        <v>0.56246400000000052</v>
      </c>
      <c r="P62" s="74">
        <f t="shared" si="88"/>
        <v>0.56246400000000052</v>
      </c>
      <c r="R62" s="93">
        <f t="shared" si="74"/>
        <v>9.9898285382156338E-2</v>
      </c>
      <c r="S62" s="93">
        <f t="shared" si="74"/>
        <v>9.9898285382156338E-2</v>
      </c>
      <c r="U62" s="74">
        <f t="shared" si="75"/>
        <v>3.72</v>
      </c>
      <c r="V62" s="74">
        <f t="shared" si="75"/>
        <v>3.72</v>
      </c>
      <c r="X62" s="74">
        <f t="shared" si="76"/>
        <v>4.46</v>
      </c>
      <c r="Y62" s="74">
        <f t="shared" si="76"/>
        <v>4.46</v>
      </c>
      <c r="Z62" s="94"/>
      <c r="AA62" s="183">
        <f t="shared" ref="AA62:AB63" si="89">ROUNDDOWN(C62/(1-$X$1)*1.2,1)</f>
        <v>4.4000000000000004</v>
      </c>
      <c r="AB62" s="183">
        <f t="shared" si="89"/>
        <v>4.4000000000000004</v>
      </c>
      <c r="AD62" s="94">
        <f t="shared" ref="AD62:AD63" si="90">AA62/1.2</f>
        <v>3.666666666666667</v>
      </c>
      <c r="AE62" s="94">
        <f t="shared" si="77"/>
        <v>3.666666666666667</v>
      </c>
      <c r="AG62" s="94">
        <f t="shared" ref="AG62:AH63" si="91">X62-AA62</f>
        <v>5.9999999999999609E-2</v>
      </c>
      <c r="AH62" s="94">
        <f t="shared" si="91"/>
        <v>5.9999999999999609E-2</v>
      </c>
      <c r="AI62" s="94"/>
      <c r="AJ62" s="94">
        <f t="shared" si="78"/>
        <v>0.22</v>
      </c>
      <c r="AK62" s="94">
        <f t="shared" si="78"/>
        <v>0.22</v>
      </c>
      <c r="AL62" s="94"/>
      <c r="AM62" s="181">
        <f t="shared" si="79"/>
        <v>1.4577600000000004</v>
      </c>
      <c r="AN62" s="181">
        <f t="shared" si="80"/>
        <v>1.4577600000000004</v>
      </c>
      <c r="AP62" s="135">
        <f t="shared" si="81"/>
        <v>9.2000000000000026E-2</v>
      </c>
      <c r="AQ62" s="135">
        <f t="shared" si="81"/>
        <v>9.2000000000000026E-2</v>
      </c>
      <c r="AS62" s="135">
        <f t="shared" si="82"/>
        <v>0.39187096774193558</v>
      </c>
      <c r="AT62" s="135">
        <f t="shared" si="82"/>
        <v>0.39187096774193558</v>
      </c>
      <c r="AV62" s="93">
        <f t="shared" si="83"/>
        <v>0.5</v>
      </c>
      <c r="AW62" s="93">
        <f t="shared" si="83"/>
        <v>0.5</v>
      </c>
      <c r="AY62" s="136">
        <f t="shared" si="84"/>
        <v>1.8000000000000005</v>
      </c>
      <c r="AZ62" s="136">
        <f t="shared" si="84"/>
        <v>1.8000000000000005</v>
      </c>
      <c r="BB62" s="93">
        <f t="shared" si="85"/>
        <v>0.48387096774193561</v>
      </c>
      <c r="BC62" s="93">
        <f t="shared" si="85"/>
        <v>0.48387096774193561</v>
      </c>
      <c r="BK62" s="127" t="e">
        <f>SUM(U62-L62)-#REF!</f>
        <v>#REF!</v>
      </c>
      <c r="BN62" s="126" t="e">
        <f>BK62/U62</f>
        <v>#REF!</v>
      </c>
    </row>
    <row r="63" spans="1:66" s="52" customFormat="1" ht="60" customHeight="1" x14ac:dyDescent="0.25">
      <c r="A63" s="158" t="s">
        <v>63</v>
      </c>
      <c r="B63" s="157"/>
      <c r="C63" s="168">
        <v>15.52</v>
      </c>
      <c r="D63" s="168">
        <v>15.52</v>
      </c>
      <c r="E63" s="74"/>
      <c r="F63" s="74">
        <f t="shared" si="72"/>
        <v>18.375679999999999</v>
      </c>
      <c r="G63" s="74">
        <f t="shared" si="72"/>
        <v>18.375679999999999</v>
      </c>
      <c r="H63" s="74"/>
      <c r="I63" s="74">
        <f t="shared" si="86"/>
        <v>2.8556799999999996</v>
      </c>
      <c r="J63" s="74">
        <f t="shared" si="86"/>
        <v>2.8556799999999996</v>
      </c>
      <c r="K63" s="51"/>
      <c r="L63" s="160">
        <f t="shared" ref="L63:M63" si="92">ROUND(C63*(1+$G$1*2),2)*SUM(1+$M$1)</f>
        <v>20.218</v>
      </c>
      <c r="M63" s="160">
        <f t="shared" si="92"/>
        <v>20.218</v>
      </c>
      <c r="O63" s="74">
        <f t="shared" si="88"/>
        <v>4.6980000000000004</v>
      </c>
      <c r="P63" s="74">
        <f t="shared" si="88"/>
        <v>4.6980000000000004</v>
      </c>
      <c r="R63" s="93">
        <f t="shared" si="74"/>
        <v>0.10013234884368906</v>
      </c>
      <c r="S63" s="93">
        <f t="shared" si="74"/>
        <v>0.10013234884368906</v>
      </c>
      <c r="U63" s="74">
        <f t="shared" si="75"/>
        <v>31.04</v>
      </c>
      <c r="V63" s="74">
        <f t="shared" si="75"/>
        <v>31.04</v>
      </c>
      <c r="X63" s="74">
        <f t="shared" si="76"/>
        <v>37.25</v>
      </c>
      <c r="Y63" s="74">
        <f t="shared" si="76"/>
        <v>37.25</v>
      </c>
      <c r="Z63" s="94"/>
      <c r="AA63" s="183">
        <f t="shared" si="89"/>
        <v>37.200000000000003</v>
      </c>
      <c r="AB63" s="183">
        <f t="shared" si="89"/>
        <v>37.200000000000003</v>
      </c>
      <c r="AD63" s="94">
        <f t="shared" si="90"/>
        <v>31.000000000000004</v>
      </c>
      <c r="AE63" s="94">
        <f t="shared" si="77"/>
        <v>31.000000000000004</v>
      </c>
      <c r="AG63" s="94">
        <f t="shared" si="91"/>
        <v>4.9999999999997158E-2</v>
      </c>
      <c r="AH63" s="94">
        <f t="shared" si="91"/>
        <v>4.9999999999997158E-2</v>
      </c>
      <c r="AI63" s="94"/>
      <c r="AJ63" s="94">
        <f t="shared" si="78"/>
        <v>1.84</v>
      </c>
      <c r="AK63" s="94">
        <f t="shared" si="78"/>
        <v>1.84</v>
      </c>
      <c r="AL63" s="94"/>
      <c r="AM63" s="181">
        <f t="shared" si="79"/>
        <v>12.614320000000003</v>
      </c>
      <c r="AN63" s="181">
        <f t="shared" si="80"/>
        <v>12.614320000000003</v>
      </c>
      <c r="AP63" s="135">
        <f t="shared" si="81"/>
        <v>9.1999999999999985E-2</v>
      </c>
      <c r="AQ63" s="135">
        <f t="shared" si="81"/>
        <v>9.1999999999999985E-2</v>
      </c>
      <c r="AS63" s="135">
        <f t="shared" si="82"/>
        <v>0.40638917525773205</v>
      </c>
      <c r="AT63" s="135">
        <f t="shared" si="82"/>
        <v>0.40638917525773205</v>
      </c>
      <c r="AV63" s="93">
        <f t="shared" si="83"/>
        <v>0.5</v>
      </c>
      <c r="AW63" s="93">
        <f t="shared" si="83"/>
        <v>0.5</v>
      </c>
      <c r="AY63" s="136">
        <f t="shared" si="84"/>
        <v>15.470000000000002</v>
      </c>
      <c r="AZ63" s="136">
        <f t="shared" si="84"/>
        <v>15.470000000000002</v>
      </c>
      <c r="BB63" s="93">
        <f t="shared" si="85"/>
        <v>0.49838917525773208</v>
      </c>
      <c r="BC63" s="93">
        <f t="shared" si="85"/>
        <v>0.49838917525773208</v>
      </c>
      <c r="BK63" s="125" t="e">
        <f>SUM(U63-L63)-#REF!</f>
        <v>#REF!</v>
      </c>
      <c r="BN63" s="124" t="e">
        <f>BK63/U63</f>
        <v>#REF!</v>
      </c>
    </row>
    <row r="64" spans="1:66" x14ac:dyDescent="0.25">
      <c r="C64" s="39"/>
      <c r="D64" s="39"/>
      <c r="E64" s="39"/>
      <c r="F64" s="39"/>
      <c r="G64" s="39"/>
      <c r="H64" s="39"/>
      <c r="I64" s="39"/>
      <c r="J64" s="39"/>
      <c r="K64" s="39"/>
      <c r="L64" s="39"/>
      <c r="BN64" s="76"/>
    </row>
    <row r="65" spans="1:13" x14ac:dyDescent="0.25">
      <c r="A65" s="48" t="s">
        <v>64</v>
      </c>
      <c r="B65" s="44" t="s">
        <v>65</v>
      </c>
      <c r="C65" s="45" t="s">
        <v>92</v>
      </c>
    </row>
    <row r="66" spans="1:13" ht="29.25" customHeight="1" x14ac:dyDescent="0.25">
      <c r="A66" s="49"/>
      <c r="B66" s="209" t="s">
        <v>67</v>
      </c>
      <c r="C66" s="210" t="s">
        <v>93</v>
      </c>
      <c r="D66" s="210"/>
      <c r="E66" s="210"/>
      <c r="F66" s="210"/>
      <c r="G66" s="210"/>
      <c r="H66" s="210"/>
      <c r="I66" s="210"/>
      <c r="J66" s="210"/>
      <c r="K66" s="210"/>
      <c r="L66" s="210"/>
      <c r="M66" s="210"/>
    </row>
    <row r="67" spans="1:13" ht="29.25" customHeight="1" x14ac:dyDescent="0.25">
      <c r="A67" s="49"/>
      <c r="B67" s="209"/>
      <c r="C67" s="210"/>
      <c r="D67" s="210"/>
      <c r="E67" s="210"/>
      <c r="F67" s="210"/>
      <c r="G67" s="210"/>
      <c r="H67" s="210"/>
      <c r="I67" s="210"/>
      <c r="J67" s="210"/>
      <c r="K67" s="210"/>
      <c r="L67" s="210"/>
      <c r="M67" s="210"/>
    </row>
    <row r="68" spans="1:13" x14ac:dyDescent="0.25">
      <c r="A68" s="25"/>
      <c r="B68" s="44" t="s">
        <v>69</v>
      </c>
      <c r="C68" s="45" t="s">
        <v>70</v>
      </c>
    </row>
    <row r="69" spans="1:13" x14ac:dyDescent="0.25">
      <c r="A69" s="25"/>
      <c r="B69" s="44" t="s">
        <v>71</v>
      </c>
      <c r="C69" s="45" t="s">
        <v>72</v>
      </c>
    </row>
    <row r="70" spans="1:13" x14ac:dyDescent="0.25">
      <c r="A70" s="25"/>
      <c r="B70" s="44"/>
      <c r="C70" s="45"/>
    </row>
    <row r="71" spans="1:13" x14ac:dyDescent="0.25">
      <c r="A71" s="25" t="s">
        <v>73</v>
      </c>
      <c r="B71" s="1" t="s">
        <v>74</v>
      </c>
      <c r="C71" s="46" t="s">
        <v>75</v>
      </c>
      <c r="L71" s="47"/>
    </row>
    <row r="72" spans="1:13" x14ac:dyDescent="0.25">
      <c r="A72" s="25"/>
      <c r="B72" s="1" t="s">
        <v>76</v>
      </c>
      <c r="C72" s="47" t="s">
        <v>77</v>
      </c>
      <c r="L72" s="47"/>
    </row>
    <row r="73" spans="1:13" x14ac:dyDescent="0.25">
      <c r="A73" s="25"/>
      <c r="B73" s="1" t="s">
        <v>78</v>
      </c>
      <c r="C73" s="47" t="s">
        <v>79</v>
      </c>
      <c r="L73" s="47"/>
    </row>
    <row r="74" spans="1:13" x14ac:dyDescent="0.25">
      <c r="A74" s="25"/>
      <c r="B74" s="1" t="s">
        <v>80</v>
      </c>
      <c r="C74" s="47" t="s">
        <v>81</v>
      </c>
      <c r="L74" s="47"/>
    </row>
    <row r="75" spans="1:13" x14ac:dyDescent="0.25">
      <c r="A75" s="25"/>
    </row>
    <row r="76" spans="1:13" x14ac:dyDescent="0.25">
      <c r="A76" s="46" t="s">
        <v>82</v>
      </c>
      <c r="B76" s="1" t="s">
        <v>83</v>
      </c>
    </row>
    <row r="78" spans="1:13" x14ac:dyDescent="0.25">
      <c r="A78" s="119" t="s">
        <v>84</v>
      </c>
    </row>
    <row r="79" spans="1:13" x14ac:dyDescent="0.25">
      <c r="B79" s="47"/>
    </row>
    <row r="80" spans="1:13" x14ac:dyDescent="0.25">
      <c r="B80" s="47"/>
    </row>
    <row r="81" spans="2:2" x14ac:dyDescent="0.25">
      <c r="B81" s="47"/>
    </row>
  </sheetData>
  <mergeCells count="41">
    <mergeCell ref="A61:A62"/>
    <mergeCell ref="B66:B67"/>
    <mergeCell ref="C66:M67"/>
    <mergeCell ref="AM58:AN58"/>
    <mergeCell ref="AP58:AQ58"/>
    <mergeCell ref="AS58:AT58"/>
    <mergeCell ref="AV58:AW58"/>
    <mergeCell ref="AY58:AZ58"/>
    <mergeCell ref="BB58:BC58"/>
    <mergeCell ref="U58:V58"/>
    <mergeCell ref="X58:Y58"/>
    <mergeCell ref="AA58:AB58"/>
    <mergeCell ref="AD58:AE58"/>
    <mergeCell ref="AG58:AH58"/>
    <mergeCell ref="AJ58:AK58"/>
    <mergeCell ref="AV2:AW2"/>
    <mergeCell ref="AY2:AZ2"/>
    <mergeCell ref="BB2:BC2"/>
    <mergeCell ref="B48:M48"/>
    <mergeCell ref="C58:D58"/>
    <mergeCell ref="F58:G58"/>
    <mergeCell ref="I58:J58"/>
    <mergeCell ref="L58:M58"/>
    <mergeCell ref="O58:P58"/>
    <mergeCell ref="R58:S58"/>
    <mergeCell ref="AD2:AE2"/>
    <mergeCell ref="AG2:AH2"/>
    <mergeCell ref="AJ2:AK2"/>
    <mergeCell ref="AM2:AN2"/>
    <mergeCell ref="AP2:AQ2"/>
    <mergeCell ref="AS2:AT2"/>
    <mergeCell ref="AM1:AN1"/>
    <mergeCell ref="C2:D2"/>
    <mergeCell ref="F2:G2"/>
    <mergeCell ref="I2:J2"/>
    <mergeCell ref="L2:M2"/>
    <mergeCell ref="O2:P2"/>
    <mergeCell ref="R2:S2"/>
    <mergeCell ref="U2:V2"/>
    <mergeCell ref="X2:Y2"/>
    <mergeCell ref="AA2:AB2"/>
  </mergeCells>
  <pageMargins left="0.7" right="0.7" top="0.75" bottom="0.75" header="0.3" footer="0.3"/>
  <pageSetup orientation="portrait" horizontalDpi="4294967295" verticalDpi="4294967295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B5836-47EC-4B6D-8D13-10EC08C2BFCE}">
  <sheetPr>
    <tabColor rgb="FFFF0000"/>
  </sheetPr>
  <dimension ref="A1:BN79"/>
  <sheetViews>
    <sheetView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17" sqref="D17"/>
    </sheetView>
  </sheetViews>
  <sheetFormatPr defaultColWidth="8.85546875" defaultRowHeight="15" x14ac:dyDescent="0.25"/>
  <cols>
    <col min="1" max="1" width="50.7109375" style="1" customWidth="1"/>
    <col min="2" max="2" width="11.5703125" style="1" customWidth="1"/>
    <col min="3" max="3" width="10.5703125" style="1" customWidth="1"/>
    <col min="4" max="4" width="7.7109375" style="1" customWidth="1"/>
    <col min="5" max="5" width="3.5703125" style="1" customWidth="1"/>
    <col min="6" max="7" width="7.7109375" style="1" customWidth="1"/>
    <col min="8" max="8" width="4" style="1" customWidth="1"/>
    <col min="9" max="10" width="6.7109375" style="1" customWidth="1"/>
    <col min="11" max="11" width="4" style="1" customWidth="1"/>
    <col min="12" max="13" width="7.7109375" style="1" customWidth="1"/>
    <col min="14" max="14" width="5.5703125" style="1" customWidth="1"/>
    <col min="15" max="16" width="7.7109375" style="1" customWidth="1"/>
    <col min="17" max="17" width="5.5703125" style="1" customWidth="1"/>
    <col min="18" max="18" width="6.5703125" style="1" bestFit="1" customWidth="1"/>
    <col min="19" max="19" width="7.85546875" style="1" bestFit="1" customWidth="1"/>
    <col min="20" max="20" width="5.5703125" style="1" customWidth="1"/>
    <col min="21" max="22" width="12.5703125" style="1" customWidth="1"/>
    <col min="23" max="23" width="3" style="1" customWidth="1"/>
    <col min="24" max="25" width="10.7109375" style="1" customWidth="1"/>
    <col min="26" max="26" width="5.7109375" style="1" bestFit="1" customWidth="1"/>
    <col min="27" max="28" width="8.140625" style="1" bestFit="1" customWidth="1"/>
    <col min="29" max="29" width="5.7109375" style="1" customWidth="1"/>
    <col min="30" max="30" width="8.28515625" style="1" customWidth="1"/>
    <col min="31" max="31" width="8.85546875" style="1" customWidth="1"/>
    <col min="32" max="32" width="5.7109375" style="1" customWidth="1"/>
    <col min="33" max="34" width="6.7109375" style="1" bestFit="1" customWidth="1"/>
    <col min="35" max="35" width="5.7109375" style="1" customWidth="1"/>
    <col min="36" max="36" width="7.140625" style="1" bestFit="1" customWidth="1"/>
    <col min="37" max="37" width="6.140625" style="1" bestFit="1" customWidth="1"/>
    <col min="38" max="38" width="7.7109375" style="1" bestFit="1" customWidth="1"/>
    <col min="39" max="40" width="8" style="1" bestFit="1" customWidth="1"/>
    <col min="41" max="41" width="3.28515625" style="1" customWidth="1"/>
    <col min="42" max="42" width="5.140625" style="1" bestFit="1" customWidth="1"/>
    <col min="43" max="43" width="6.140625" style="1" bestFit="1" customWidth="1"/>
    <col min="44" max="44" width="5.140625" style="1" customWidth="1"/>
    <col min="45" max="46" width="6.5703125" style="1" bestFit="1" customWidth="1"/>
    <col min="47" max="47" width="5.140625" style="1" customWidth="1"/>
    <col min="48" max="48" width="8.85546875" style="1" customWidth="1"/>
    <col min="49" max="49" width="8" style="1" customWidth="1"/>
    <col min="50" max="50" width="5.42578125" style="1" customWidth="1"/>
    <col min="51" max="52" width="6.7109375" style="1" customWidth="1"/>
    <col min="53" max="53" width="5.42578125" style="1" customWidth="1"/>
    <col min="54" max="55" width="8" style="1" customWidth="1"/>
    <col min="56" max="56" width="6.140625" style="1" customWidth="1"/>
    <col min="57" max="58" width="8" style="1" bestFit="1" customWidth="1"/>
    <col min="59" max="59" width="7.140625" style="1" bestFit="1" customWidth="1"/>
    <col min="60" max="60" width="6.140625" style="1" customWidth="1"/>
    <col min="61" max="62" width="6.5703125" style="1" bestFit="1" customWidth="1"/>
    <col min="63" max="64" width="8" style="1" customWidth="1"/>
    <col min="65" max="65" width="1.42578125" style="1" customWidth="1"/>
    <col min="66" max="67" width="8.7109375" style="1" customWidth="1"/>
    <col min="68" max="68" width="8.85546875" style="1" customWidth="1"/>
    <col min="69" max="16384" width="8.85546875" style="1"/>
  </cols>
  <sheetData>
    <row r="1" spans="1:62" ht="17.100000000000001" customHeight="1" thickBot="1" x14ac:dyDescent="0.3">
      <c r="A1" s="184" t="s">
        <v>88</v>
      </c>
      <c r="C1" s="171" t="s">
        <v>0</v>
      </c>
      <c r="D1" s="163">
        <v>0.16</v>
      </c>
      <c r="E1" s="38"/>
      <c r="F1" s="38"/>
      <c r="G1" s="193">
        <v>0.1</v>
      </c>
      <c r="H1" s="170" t="s">
        <v>1</v>
      </c>
      <c r="M1" s="91">
        <v>0.1</v>
      </c>
      <c r="X1" s="91">
        <v>0.5</v>
      </c>
      <c r="AL1" s="91">
        <v>0.1</v>
      </c>
      <c r="AM1" s="220"/>
      <c r="AN1" s="220"/>
    </row>
    <row r="2" spans="1:62" ht="45" customHeight="1" x14ac:dyDescent="0.25">
      <c r="A2" s="34"/>
      <c r="B2" s="39"/>
      <c r="C2" s="217" t="s">
        <v>2</v>
      </c>
      <c r="D2" s="217"/>
      <c r="E2" s="90"/>
      <c r="F2" s="218" t="s">
        <v>3</v>
      </c>
      <c r="G2" s="218"/>
      <c r="H2" s="52"/>
      <c r="I2" s="212" t="s">
        <v>4</v>
      </c>
      <c r="J2" s="212"/>
      <c r="K2" s="52"/>
      <c r="L2" s="219" t="s">
        <v>5</v>
      </c>
      <c r="M2" s="219"/>
      <c r="N2" s="52"/>
      <c r="O2" s="219" t="s">
        <v>6</v>
      </c>
      <c r="P2" s="219"/>
      <c r="Q2" s="52"/>
      <c r="R2" s="219" t="s">
        <v>7</v>
      </c>
      <c r="S2" s="219"/>
      <c r="T2" s="52"/>
      <c r="U2" s="214" t="s">
        <v>8</v>
      </c>
      <c r="V2" s="214"/>
      <c r="W2" s="52"/>
      <c r="X2" s="211" t="s">
        <v>9</v>
      </c>
      <c r="Y2" s="211"/>
      <c r="AA2" s="215" t="s">
        <v>10</v>
      </c>
      <c r="AB2" s="215"/>
      <c r="AD2" s="211" t="s">
        <v>11</v>
      </c>
      <c r="AE2" s="211"/>
      <c r="AG2" s="211" t="s">
        <v>12</v>
      </c>
      <c r="AH2" s="211"/>
      <c r="AJ2" s="211" t="s">
        <v>13</v>
      </c>
      <c r="AK2" s="211"/>
      <c r="AM2" s="211" t="s">
        <v>14</v>
      </c>
      <c r="AN2" s="211"/>
      <c r="AP2" s="212" t="s">
        <v>15</v>
      </c>
      <c r="AQ2" s="212"/>
      <c r="AS2" s="219" t="s">
        <v>16</v>
      </c>
      <c r="AT2" s="219"/>
      <c r="AV2" s="213" t="s">
        <v>17</v>
      </c>
      <c r="AW2" s="213"/>
      <c r="AY2" s="213" t="s">
        <v>18</v>
      </c>
      <c r="AZ2" s="213"/>
      <c r="BB2" s="213" t="s">
        <v>19</v>
      </c>
      <c r="BC2" s="213"/>
    </row>
    <row r="3" spans="1:62" s="34" customFormat="1" x14ac:dyDescent="0.25">
      <c r="C3" s="54" t="s">
        <v>20</v>
      </c>
      <c r="D3" s="54" t="s">
        <v>21</v>
      </c>
      <c r="E3" s="54"/>
      <c r="F3" s="34" t="s">
        <v>20</v>
      </c>
      <c r="G3" s="54" t="s">
        <v>21</v>
      </c>
      <c r="I3" s="34" t="s">
        <v>20</v>
      </c>
      <c r="J3" s="54" t="s">
        <v>21</v>
      </c>
      <c r="L3" s="34" t="s">
        <v>20</v>
      </c>
      <c r="M3" s="54" t="s">
        <v>21</v>
      </c>
      <c r="O3" s="34" t="s">
        <v>20</v>
      </c>
      <c r="P3" s="54" t="s">
        <v>21</v>
      </c>
      <c r="R3" s="34" t="s">
        <v>20</v>
      </c>
      <c r="S3" s="54" t="s">
        <v>21</v>
      </c>
      <c r="U3" s="34" t="s">
        <v>20</v>
      </c>
      <c r="V3" s="34" t="s">
        <v>21</v>
      </c>
      <c r="X3" s="34" t="s">
        <v>20</v>
      </c>
      <c r="Y3" s="34" t="s">
        <v>21</v>
      </c>
      <c r="AA3" s="34" t="s">
        <v>20</v>
      </c>
      <c r="AB3" s="34" t="s">
        <v>21</v>
      </c>
      <c r="AD3" s="34" t="s">
        <v>20</v>
      </c>
      <c r="AE3" s="34" t="s">
        <v>21</v>
      </c>
      <c r="AG3" s="34" t="s">
        <v>20</v>
      </c>
      <c r="AH3" s="34" t="s">
        <v>21</v>
      </c>
      <c r="AJ3" s="34" t="s">
        <v>20</v>
      </c>
      <c r="AK3" s="34" t="s">
        <v>21</v>
      </c>
      <c r="AM3" s="34" t="s">
        <v>20</v>
      </c>
      <c r="AN3" s="34" t="s">
        <v>21</v>
      </c>
      <c r="AP3" s="34" t="s">
        <v>20</v>
      </c>
      <c r="AQ3" s="34" t="s">
        <v>21</v>
      </c>
      <c r="AS3" s="34" t="s">
        <v>20</v>
      </c>
      <c r="AT3" s="34" t="s">
        <v>21</v>
      </c>
      <c r="AV3" s="34" t="s">
        <v>20</v>
      </c>
      <c r="AW3" s="54" t="s">
        <v>21</v>
      </c>
      <c r="AY3" s="34" t="s">
        <v>20</v>
      </c>
      <c r="AZ3" s="54" t="s">
        <v>21</v>
      </c>
      <c r="BB3" s="34" t="s">
        <v>20</v>
      </c>
      <c r="BC3" s="54" t="s">
        <v>21</v>
      </c>
    </row>
    <row r="4" spans="1:62" x14ac:dyDescent="0.25">
      <c r="B4" s="32" t="s">
        <v>22</v>
      </c>
      <c r="C4" s="40"/>
      <c r="D4" s="40"/>
      <c r="E4" s="40"/>
      <c r="F4" s="40"/>
      <c r="L4" s="39"/>
      <c r="M4" s="41"/>
      <c r="AA4" s="39"/>
      <c r="AB4" s="39"/>
    </row>
    <row r="5" spans="1:62" x14ac:dyDescent="0.25">
      <c r="B5" s="25" t="s">
        <v>23</v>
      </c>
      <c r="C5" s="149">
        <f>ROUND('Single Trip Standard re Jan25'!C5*SUM(1+1*'ST Standard from 1 Apr25'!$D$1),2)</f>
        <v>9.19</v>
      </c>
      <c r="D5" s="149">
        <f>ROUND('Single Trip Standard re Jan25'!D5*SUM(1+1*'ST Standard from 1 Apr25'!$D$1),2)</f>
        <v>14.05</v>
      </c>
      <c r="E5" s="41"/>
      <c r="F5" s="41">
        <f t="shared" ref="F5:G9" si="0">C5*SUM(1+$G$1/$X$1)</f>
        <v>11.027999999999999</v>
      </c>
      <c r="G5" s="41">
        <f t="shared" si="0"/>
        <v>16.86</v>
      </c>
      <c r="H5" s="82"/>
      <c r="I5" s="41">
        <f>F5-C5</f>
        <v>1.8379999999999992</v>
      </c>
      <c r="J5" s="41">
        <f>G5-D5</f>
        <v>2.8099999999999987</v>
      </c>
      <c r="K5" s="82"/>
      <c r="L5" s="41">
        <f>ROUND(C5*(1+$G$1*2),2)*SUM(1+$M$1)</f>
        <v>12.133000000000001</v>
      </c>
      <c r="M5" s="41">
        <f t="shared" ref="L5:M9" si="1">ROUND(D5*(1+$G$1*2),2)*SUM(1+$M$1)</f>
        <v>18.545999999999999</v>
      </c>
      <c r="N5" s="82"/>
      <c r="O5" s="41">
        <f>L5-C5</f>
        <v>2.9430000000000014</v>
      </c>
      <c r="P5" s="41">
        <f>M5-D5</f>
        <v>4.4959999999999987</v>
      </c>
      <c r="Q5" s="82"/>
      <c r="R5" s="76">
        <f t="shared" ref="R5:S9" si="2">AJ5/F5</f>
        <v>9.974610083424014E-2</v>
      </c>
      <c r="S5" s="76">
        <f t="shared" si="2"/>
        <v>0.10023724792408066</v>
      </c>
      <c r="T5" s="82"/>
      <c r="U5" s="41">
        <f t="shared" ref="U5:V9" si="3">SUM(C5/(1-$X$1))</f>
        <v>18.38</v>
      </c>
      <c r="V5" s="41">
        <f t="shared" si="3"/>
        <v>28.1</v>
      </c>
      <c r="W5" s="82"/>
      <c r="X5" s="41">
        <f>ROUND(C5/(1-$X$1)*1.2,2)</f>
        <v>22.06</v>
      </c>
      <c r="Y5" s="41">
        <f>ROUND(D5/(1-$X$1)*1.2,2)</f>
        <v>33.72</v>
      </c>
      <c r="AA5" s="182">
        <f>ROUNDDOWN(C5/(1-$X$1)*1.2,1)</f>
        <v>22</v>
      </c>
      <c r="AB5" s="182">
        <f>ROUNDDOWN(D5/(1-$X$1)*1.2,1)</f>
        <v>33.700000000000003</v>
      </c>
      <c r="AD5" s="40">
        <f>AA5/1.2</f>
        <v>18.333333333333336</v>
      </c>
      <c r="AE5" s="40">
        <f>AB5/1.2</f>
        <v>28.083333333333336</v>
      </c>
      <c r="AG5" s="40">
        <f>X5-AA5</f>
        <v>5.9999999999998721E-2</v>
      </c>
      <c r="AH5" s="40">
        <f>Y5-AB5</f>
        <v>1.9999999999996021E-2</v>
      </c>
      <c r="AJ5" s="40">
        <f t="shared" ref="AJ5:AK9" si="4">ROUND(L5*(1-(1/(1+$AL$1))),2)</f>
        <v>1.1000000000000001</v>
      </c>
      <c r="AK5" s="40">
        <f t="shared" si="4"/>
        <v>1.69</v>
      </c>
      <c r="AL5" s="40"/>
      <c r="AM5" s="180">
        <f>SUM(U5-F5)-AG5</f>
        <v>7.2920000000000016</v>
      </c>
      <c r="AN5" s="180">
        <f>SUM(V5-G5)-AH5</f>
        <v>11.220000000000006</v>
      </c>
      <c r="AP5" s="76">
        <f t="shared" ref="AP5:AQ9" si="5">(SUM(F5-C5)/C5)*$X$1</f>
        <v>9.9999999999999964E-2</v>
      </c>
      <c r="AQ5" s="76">
        <f t="shared" si="5"/>
        <v>9.999999999999995E-2</v>
      </c>
      <c r="AS5" s="76">
        <f t="shared" ref="AS5:AT9" si="6">AM5/U5</f>
        <v>0.39673558215451588</v>
      </c>
      <c r="AT5" s="76">
        <f t="shared" si="6"/>
        <v>0.39928825622775821</v>
      </c>
      <c r="AU5" s="40"/>
      <c r="AV5" s="76">
        <f t="shared" ref="AV5:AW9" si="7">C5/U5</f>
        <v>0.5</v>
      </c>
      <c r="AW5" s="76">
        <f t="shared" si="7"/>
        <v>0.5</v>
      </c>
      <c r="AX5" s="42"/>
      <c r="AY5" s="42">
        <f t="shared" ref="AY5:AZ9" si="8">I5+AM5</f>
        <v>9.1300000000000008</v>
      </c>
      <c r="AZ5" s="42">
        <f t="shared" si="8"/>
        <v>14.030000000000005</v>
      </c>
      <c r="BA5" s="42"/>
      <c r="BB5" s="76">
        <f t="shared" ref="BB5:BC9" si="9">AY5/(C5/$X$1)</f>
        <v>0.49673558215451585</v>
      </c>
      <c r="BC5" s="76">
        <f t="shared" si="9"/>
        <v>0.49928825622775813</v>
      </c>
      <c r="BE5" s="40"/>
      <c r="BF5" s="40"/>
      <c r="BG5" s="40"/>
      <c r="BH5" s="40"/>
      <c r="BI5" s="76"/>
      <c r="BJ5" s="76"/>
    </row>
    <row r="6" spans="1:62" x14ac:dyDescent="0.25">
      <c r="B6" s="25" t="s">
        <v>24</v>
      </c>
      <c r="C6" s="149">
        <f>ROUND('Single Trip Standard re Jan25'!C6*SUM(1+1*'ST Standard from 1 Apr25'!$D$1),2)</f>
        <v>9.65</v>
      </c>
      <c r="D6" s="149">
        <f>ROUND('Single Trip Standard re Jan25'!D6*SUM(1+1*'ST Standard from 1 Apr25'!$D$1),2)</f>
        <v>14.76</v>
      </c>
      <c r="E6" s="41"/>
      <c r="F6" s="41">
        <f t="shared" si="0"/>
        <v>11.58</v>
      </c>
      <c r="G6" s="41">
        <f t="shared" si="0"/>
        <v>17.712</v>
      </c>
      <c r="H6" s="82"/>
      <c r="I6" s="41">
        <f t="shared" ref="I6:J9" si="10">F6-C6</f>
        <v>1.9299999999999997</v>
      </c>
      <c r="J6" s="41">
        <f t="shared" si="10"/>
        <v>2.952</v>
      </c>
      <c r="K6" s="82"/>
      <c r="L6" s="41">
        <f t="shared" si="1"/>
        <v>12.738000000000001</v>
      </c>
      <c r="M6" s="41">
        <f t="shared" si="1"/>
        <v>19.481000000000002</v>
      </c>
      <c r="N6" s="82"/>
      <c r="O6" s="41">
        <f t="shared" ref="O6:P9" si="11">L6-C6</f>
        <v>3.088000000000001</v>
      </c>
      <c r="P6" s="41">
        <f t="shared" si="11"/>
        <v>4.7210000000000019</v>
      </c>
      <c r="Q6" s="82"/>
      <c r="R6" s="76">
        <f t="shared" si="2"/>
        <v>0.10017271157167529</v>
      </c>
      <c r="S6" s="76">
        <f t="shared" si="2"/>
        <v>9.9932249322493227E-2</v>
      </c>
      <c r="T6" s="82"/>
      <c r="U6" s="41">
        <f t="shared" si="3"/>
        <v>19.3</v>
      </c>
      <c r="V6" s="41">
        <f t="shared" si="3"/>
        <v>29.52</v>
      </c>
      <c r="W6" s="82"/>
      <c r="X6" s="41">
        <f t="shared" ref="X6:Y9" si="12">ROUND(C6/(1-$X$1)*1.2,2)</f>
        <v>23.16</v>
      </c>
      <c r="Y6" s="41">
        <f t="shared" si="12"/>
        <v>35.42</v>
      </c>
      <c r="AA6" s="182">
        <f t="shared" ref="AA6:AB9" si="13">ROUNDDOWN(C6/(1-$X$1)*1.2,1)</f>
        <v>23.1</v>
      </c>
      <c r="AB6" s="182">
        <f t="shared" si="13"/>
        <v>35.4</v>
      </c>
      <c r="AD6" s="40">
        <f t="shared" ref="AD6:AE9" si="14">AA6/1.2</f>
        <v>19.250000000000004</v>
      </c>
      <c r="AE6" s="40">
        <f t="shared" si="14"/>
        <v>29.5</v>
      </c>
      <c r="AG6" s="40">
        <f t="shared" ref="AG6:AH9" si="15">X6-AA6</f>
        <v>5.9999999999998721E-2</v>
      </c>
      <c r="AH6" s="40">
        <f t="shared" si="15"/>
        <v>2.0000000000003126E-2</v>
      </c>
      <c r="AJ6" s="40">
        <f t="shared" si="4"/>
        <v>1.1599999999999999</v>
      </c>
      <c r="AK6" s="40">
        <f t="shared" si="4"/>
        <v>1.77</v>
      </c>
      <c r="AL6" s="40"/>
      <c r="AM6" s="180">
        <f t="shared" ref="AM6:AM9" si="16">SUM(U6-F6)-AG6</f>
        <v>7.6600000000000019</v>
      </c>
      <c r="AN6" s="180">
        <f t="shared" ref="AN6:AN9" si="17">SUM(V6-G6)-AH6</f>
        <v>11.787999999999997</v>
      </c>
      <c r="AP6" s="76">
        <f t="shared" si="5"/>
        <v>9.9999999999999978E-2</v>
      </c>
      <c r="AQ6" s="76">
        <f t="shared" si="5"/>
        <v>0.1</v>
      </c>
      <c r="AS6" s="76">
        <f t="shared" si="6"/>
        <v>0.39689119170984466</v>
      </c>
      <c r="AT6" s="76">
        <f t="shared" si="6"/>
        <v>0.39932249322493213</v>
      </c>
      <c r="AV6" s="76">
        <f t="shared" si="7"/>
        <v>0.5</v>
      </c>
      <c r="AW6" s="76">
        <f t="shared" si="7"/>
        <v>0.5</v>
      </c>
      <c r="AX6" s="42"/>
      <c r="AY6" s="42">
        <f t="shared" si="8"/>
        <v>9.5900000000000016</v>
      </c>
      <c r="AZ6" s="42">
        <f t="shared" si="8"/>
        <v>14.739999999999997</v>
      </c>
      <c r="BA6" s="42"/>
      <c r="BB6" s="76">
        <f t="shared" si="9"/>
        <v>0.49689119170984464</v>
      </c>
      <c r="BC6" s="76">
        <f t="shared" si="9"/>
        <v>0.49932249322493216</v>
      </c>
      <c r="BF6" s="40"/>
      <c r="BG6" s="40"/>
      <c r="BI6" s="76"/>
      <c r="BJ6" s="76"/>
    </row>
    <row r="7" spans="1:62" x14ac:dyDescent="0.25">
      <c r="B7" s="25" t="s">
        <v>25</v>
      </c>
      <c r="C7" s="149">
        <f>ROUND('Single Trip Standard re Jan25'!C7*SUM(1+1*'ST Standard from 1 Apr25'!$D$1),2)</f>
        <v>10.65</v>
      </c>
      <c r="D7" s="149">
        <f>ROUND('Single Trip Standard re Jan25'!D7*SUM(1+1*'ST Standard from 1 Apr25'!$D$1),2)</f>
        <v>16.3</v>
      </c>
      <c r="E7" s="41"/>
      <c r="F7" s="41">
        <f t="shared" si="0"/>
        <v>12.78</v>
      </c>
      <c r="G7" s="41">
        <f t="shared" si="0"/>
        <v>19.559999999999999</v>
      </c>
      <c r="H7" s="82"/>
      <c r="I7" s="41">
        <f t="shared" si="10"/>
        <v>2.129999999999999</v>
      </c>
      <c r="J7" s="41">
        <f t="shared" si="10"/>
        <v>3.259999999999998</v>
      </c>
      <c r="K7" s="82"/>
      <c r="L7" s="41">
        <f t="shared" si="1"/>
        <v>14.058</v>
      </c>
      <c r="M7" s="41">
        <f t="shared" si="1"/>
        <v>21.516000000000002</v>
      </c>
      <c r="N7" s="82"/>
      <c r="O7" s="41">
        <f t="shared" si="11"/>
        <v>3.4079999999999995</v>
      </c>
      <c r="P7" s="41">
        <f t="shared" si="11"/>
        <v>5.2160000000000011</v>
      </c>
      <c r="Q7" s="82"/>
      <c r="R7" s="76">
        <f t="shared" si="2"/>
        <v>0.10015649452269171</v>
      </c>
      <c r="S7" s="76">
        <f t="shared" si="2"/>
        <v>0.10020449897750512</v>
      </c>
      <c r="T7" s="82"/>
      <c r="U7" s="41">
        <f t="shared" si="3"/>
        <v>21.3</v>
      </c>
      <c r="V7" s="41">
        <f t="shared" si="3"/>
        <v>32.6</v>
      </c>
      <c r="W7" s="82"/>
      <c r="X7" s="41">
        <f t="shared" si="12"/>
        <v>25.56</v>
      </c>
      <c r="Y7" s="41">
        <f t="shared" si="12"/>
        <v>39.119999999999997</v>
      </c>
      <c r="AA7" s="182">
        <f t="shared" si="13"/>
        <v>25.5</v>
      </c>
      <c r="AB7" s="182">
        <f t="shared" si="13"/>
        <v>39.1</v>
      </c>
      <c r="AD7" s="40">
        <f t="shared" si="14"/>
        <v>21.25</v>
      </c>
      <c r="AE7" s="40">
        <f t="shared" si="14"/>
        <v>32.583333333333336</v>
      </c>
      <c r="AG7" s="40">
        <f t="shared" si="15"/>
        <v>5.9999999999998721E-2</v>
      </c>
      <c r="AH7" s="40">
        <f t="shared" si="15"/>
        <v>1.9999999999996021E-2</v>
      </c>
      <c r="AJ7" s="40">
        <f t="shared" si="4"/>
        <v>1.28</v>
      </c>
      <c r="AK7" s="40">
        <f t="shared" si="4"/>
        <v>1.96</v>
      </c>
      <c r="AL7" s="40"/>
      <c r="AM7" s="180">
        <f t="shared" si="16"/>
        <v>8.4600000000000026</v>
      </c>
      <c r="AN7" s="180">
        <f t="shared" si="17"/>
        <v>13.020000000000007</v>
      </c>
      <c r="AP7" s="76">
        <f t="shared" si="5"/>
        <v>9.999999999999995E-2</v>
      </c>
      <c r="AQ7" s="76">
        <f t="shared" si="5"/>
        <v>9.9999999999999936E-2</v>
      </c>
      <c r="AS7" s="76">
        <f t="shared" si="6"/>
        <v>0.39718309859154943</v>
      </c>
      <c r="AT7" s="76">
        <f t="shared" si="6"/>
        <v>0.39938650306748485</v>
      </c>
      <c r="AV7" s="76">
        <f t="shared" si="7"/>
        <v>0.5</v>
      </c>
      <c r="AW7" s="76">
        <f t="shared" si="7"/>
        <v>0.5</v>
      </c>
      <c r="AX7" s="42"/>
      <c r="AY7" s="42">
        <f t="shared" si="8"/>
        <v>10.590000000000002</v>
      </c>
      <c r="AZ7" s="42">
        <f t="shared" si="8"/>
        <v>16.280000000000005</v>
      </c>
      <c r="BA7" s="42"/>
      <c r="BB7" s="76">
        <f t="shared" si="9"/>
        <v>0.49718309859154936</v>
      </c>
      <c r="BC7" s="76">
        <f t="shared" si="9"/>
        <v>0.49938650306748478</v>
      </c>
      <c r="BF7" s="40"/>
      <c r="BG7" s="40"/>
      <c r="BI7" s="76"/>
      <c r="BJ7" s="76"/>
    </row>
    <row r="8" spans="1:62" x14ac:dyDescent="0.25">
      <c r="B8" s="25" t="s">
        <v>26</v>
      </c>
      <c r="C8" s="149">
        <f>ROUND('Single Trip Standard re Jan25'!C8*SUM(1+1*'ST Standard from 1 Apr25'!$D$1),2)</f>
        <v>11.75</v>
      </c>
      <c r="D8" s="149">
        <f>ROUND('Single Trip Standard re Jan25'!D8*SUM(1+1*'ST Standard from 1 Apr25'!$D$1),2)</f>
        <v>17.95</v>
      </c>
      <c r="E8" s="41"/>
      <c r="F8" s="41">
        <f t="shared" si="0"/>
        <v>14.1</v>
      </c>
      <c r="G8" s="41">
        <f t="shared" si="0"/>
        <v>21.54</v>
      </c>
      <c r="H8" s="82"/>
      <c r="I8" s="41">
        <f t="shared" si="10"/>
        <v>2.3499999999999996</v>
      </c>
      <c r="J8" s="41">
        <f t="shared" si="10"/>
        <v>3.59</v>
      </c>
      <c r="K8" s="82"/>
      <c r="L8" s="41">
        <f t="shared" si="1"/>
        <v>15.510000000000002</v>
      </c>
      <c r="M8" s="41">
        <f t="shared" si="1"/>
        <v>23.694000000000003</v>
      </c>
      <c r="N8" s="82"/>
      <c r="O8" s="41">
        <f t="shared" si="11"/>
        <v>3.7600000000000016</v>
      </c>
      <c r="P8" s="41">
        <f t="shared" si="11"/>
        <v>5.7440000000000033</v>
      </c>
      <c r="Q8" s="82"/>
      <c r="R8" s="76">
        <f t="shared" si="2"/>
        <v>9.9999999999999992E-2</v>
      </c>
      <c r="S8" s="76">
        <f t="shared" si="2"/>
        <v>9.9814298978644383E-2</v>
      </c>
      <c r="T8" s="82"/>
      <c r="U8" s="41">
        <f t="shared" si="3"/>
        <v>23.5</v>
      </c>
      <c r="V8" s="41">
        <f t="shared" si="3"/>
        <v>35.9</v>
      </c>
      <c r="W8" s="82"/>
      <c r="X8" s="41">
        <f t="shared" si="12"/>
        <v>28.2</v>
      </c>
      <c r="Y8" s="41">
        <f t="shared" si="12"/>
        <v>43.08</v>
      </c>
      <c r="AA8" s="182">
        <f t="shared" si="13"/>
        <v>28.2</v>
      </c>
      <c r="AB8" s="182">
        <f t="shared" si="13"/>
        <v>43</v>
      </c>
      <c r="AD8" s="40">
        <f t="shared" si="14"/>
        <v>23.5</v>
      </c>
      <c r="AE8" s="40">
        <f t="shared" si="14"/>
        <v>35.833333333333336</v>
      </c>
      <c r="AG8" s="40">
        <f t="shared" si="15"/>
        <v>0</v>
      </c>
      <c r="AH8" s="40">
        <f t="shared" si="15"/>
        <v>7.9999999999998295E-2</v>
      </c>
      <c r="AJ8" s="40">
        <f t="shared" si="4"/>
        <v>1.41</v>
      </c>
      <c r="AK8" s="40">
        <f t="shared" si="4"/>
        <v>2.15</v>
      </c>
      <c r="AL8" s="40"/>
      <c r="AM8" s="180">
        <f t="shared" si="16"/>
        <v>9.4</v>
      </c>
      <c r="AN8" s="180">
        <f t="shared" si="17"/>
        <v>14.280000000000001</v>
      </c>
      <c r="AP8" s="76">
        <f t="shared" si="5"/>
        <v>9.9999999999999992E-2</v>
      </c>
      <c r="AQ8" s="76">
        <f t="shared" si="5"/>
        <v>0.1</v>
      </c>
      <c r="AS8" s="76">
        <f t="shared" si="6"/>
        <v>0.4</v>
      </c>
      <c r="AT8" s="76">
        <f t="shared" si="6"/>
        <v>0.39777158774373261</v>
      </c>
      <c r="AV8" s="76">
        <f t="shared" si="7"/>
        <v>0.5</v>
      </c>
      <c r="AW8" s="76">
        <f t="shared" si="7"/>
        <v>0.5</v>
      </c>
      <c r="AX8" s="42"/>
      <c r="AY8" s="42">
        <f t="shared" si="8"/>
        <v>11.75</v>
      </c>
      <c r="AZ8" s="42">
        <f t="shared" si="8"/>
        <v>17.87</v>
      </c>
      <c r="BA8" s="42"/>
      <c r="BB8" s="76">
        <f t="shared" si="9"/>
        <v>0.5</v>
      </c>
      <c r="BC8" s="76">
        <f t="shared" si="9"/>
        <v>0.49777158774373265</v>
      </c>
      <c r="BF8" s="40"/>
      <c r="BG8" s="40"/>
      <c r="BI8" s="76"/>
      <c r="BJ8" s="76"/>
    </row>
    <row r="9" spans="1:62" x14ac:dyDescent="0.25">
      <c r="B9" s="25" t="s">
        <v>27</v>
      </c>
      <c r="C9" s="149">
        <f>ROUND('Single Trip Standard re Jan25'!C9*SUM(1+1*'ST Standard from 1 Apr25'!$D$1),2)</f>
        <v>11.77</v>
      </c>
      <c r="D9" s="149">
        <f>ROUND('Single Trip Standard re Jan25'!D9*SUM(1+1*'ST Standard from 1 Apr25'!$D$1),2)</f>
        <v>17.96</v>
      </c>
      <c r="E9" s="41"/>
      <c r="F9" s="41">
        <f t="shared" si="0"/>
        <v>14.123999999999999</v>
      </c>
      <c r="G9" s="41">
        <f t="shared" si="0"/>
        <v>21.552</v>
      </c>
      <c r="H9" s="82"/>
      <c r="I9" s="41">
        <f t="shared" si="10"/>
        <v>2.3539999999999992</v>
      </c>
      <c r="J9" s="41">
        <f t="shared" si="10"/>
        <v>3.5919999999999987</v>
      </c>
      <c r="K9" s="82"/>
      <c r="L9" s="41">
        <f t="shared" si="1"/>
        <v>15.532</v>
      </c>
      <c r="M9" s="41">
        <f t="shared" si="1"/>
        <v>23.705000000000002</v>
      </c>
      <c r="N9" s="82"/>
      <c r="O9" s="41">
        <f t="shared" si="11"/>
        <v>3.7620000000000005</v>
      </c>
      <c r="P9" s="41">
        <f t="shared" si="11"/>
        <v>5.745000000000001</v>
      </c>
      <c r="Q9" s="82"/>
      <c r="R9" s="76">
        <f t="shared" si="2"/>
        <v>9.9830076465590487E-2</v>
      </c>
      <c r="S9" s="76">
        <f t="shared" si="2"/>
        <v>0.1002227171492205</v>
      </c>
      <c r="T9" s="82"/>
      <c r="U9" s="41">
        <f t="shared" si="3"/>
        <v>23.54</v>
      </c>
      <c r="V9" s="41">
        <f t="shared" si="3"/>
        <v>35.92</v>
      </c>
      <c r="W9" s="82"/>
      <c r="X9" s="41">
        <f t="shared" si="12"/>
        <v>28.25</v>
      </c>
      <c r="Y9" s="41">
        <f t="shared" si="12"/>
        <v>43.1</v>
      </c>
      <c r="AA9" s="182">
        <f t="shared" si="13"/>
        <v>28.2</v>
      </c>
      <c r="AB9" s="182">
        <f t="shared" si="13"/>
        <v>43.1</v>
      </c>
      <c r="AD9" s="40">
        <f t="shared" si="14"/>
        <v>23.5</v>
      </c>
      <c r="AE9" s="40">
        <f t="shared" si="14"/>
        <v>35.916666666666671</v>
      </c>
      <c r="AG9" s="40">
        <f t="shared" si="15"/>
        <v>5.0000000000000711E-2</v>
      </c>
      <c r="AH9" s="40">
        <f t="shared" si="15"/>
        <v>0</v>
      </c>
      <c r="AJ9" s="40">
        <f t="shared" si="4"/>
        <v>1.41</v>
      </c>
      <c r="AK9" s="40">
        <f t="shared" si="4"/>
        <v>2.16</v>
      </c>
      <c r="AL9" s="40"/>
      <c r="AM9" s="180">
        <f t="shared" si="16"/>
        <v>9.3659999999999997</v>
      </c>
      <c r="AN9" s="180">
        <f t="shared" si="17"/>
        <v>14.368000000000002</v>
      </c>
      <c r="AP9" s="76">
        <f t="shared" si="5"/>
        <v>9.9999999999999964E-2</v>
      </c>
      <c r="AQ9" s="76">
        <f t="shared" si="5"/>
        <v>9.9999999999999964E-2</v>
      </c>
      <c r="AS9" s="76">
        <f t="shared" si="6"/>
        <v>0.39787595581988106</v>
      </c>
      <c r="AT9" s="76">
        <f t="shared" si="6"/>
        <v>0.4</v>
      </c>
      <c r="AV9" s="76">
        <f t="shared" si="7"/>
        <v>0.5</v>
      </c>
      <c r="AW9" s="76">
        <f t="shared" si="7"/>
        <v>0.5</v>
      </c>
      <c r="AX9" s="42"/>
      <c r="AY9" s="42">
        <f t="shared" si="8"/>
        <v>11.719999999999999</v>
      </c>
      <c r="AZ9" s="42">
        <f t="shared" si="8"/>
        <v>17.96</v>
      </c>
      <c r="BA9" s="42"/>
      <c r="BB9" s="76">
        <f t="shared" si="9"/>
        <v>0.49787595581988103</v>
      </c>
      <c r="BC9" s="76">
        <f t="shared" si="9"/>
        <v>0.5</v>
      </c>
      <c r="BF9" s="40"/>
      <c r="BG9" s="40"/>
      <c r="BI9" s="76"/>
      <c r="BJ9" s="76"/>
    </row>
    <row r="10" spans="1:62" x14ac:dyDescent="0.25">
      <c r="B10" s="25"/>
      <c r="C10" s="41"/>
      <c r="D10" s="41"/>
      <c r="E10" s="41"/>
      <c r="F10" s="41"/>
      <c r="G10" s="41"/>
      <c r="H10" s="4"/>
      <c r="I10" s="4"/>
      <c r="J10" s="4"/>
      <c r="K10" s="4"/>
      <c r="L10" s="41"/>
      <c r="M10" s="41"/>
      <c r="N10" s="4"/>
      <c r="O10" s="4"/>
      <c r="P10" s="4"/>
      <c r="Q10" s="4"/>
      <c r="R10" s="78"/>
      <c r="T10" s="4"/>
      <c r="U10" s="4"/>
      <c r="V10" s="4"/>
      <c r="W10" s="4"/>
      <c r="AJ10" s="40"/>
      <c r="AK10" s="40"/>
      <c r="AL10" s="40"/>
      <c r="AS10" s="103"/>
      <c r="AT10" s="103"/>
      <c r="AV10" s="40"/>
      <c r="AW10" s="40"/>
      <c r="BB10" s="77"/>
      <c r="BC10" s="77"/>
    </row>
    <row r="11" spans="1:62" x14ac:dyDescent="0.25">
      <c r="B11" s="32" t="s">
        <v>28</v>
      </c>
      <c r="C11" s="41"/>
      <c r="D11" s="41"/>
      <c r="E11" s="41"/>
      <c r="F11" s="41"/>
      <c r="G11" s="41"/>
      <c r="H11" s="4"/>
      <c r="I11" s="4"/>
      <c r="J11" s="4"/>
      <c r="K11" s="4"/>
      <c r="L11" s="41"/>
      <c r="M11" s="41"/>
      <c r="N11" s="4"/>
      <c r="O11" s="4"/>
      <c r="P11" s="4"/>
      <c r="Q11" s="4"/>
      <c r="R11" s="78"/>
      <c r="T11" s="4"/>
      <c r="U11" s="4"/>
      <c r="V11" s="4"/>
      <c r="W11" s="4"/>
      <c r="AJ11" s="40"/>
      <c r="AK11" s="40"/>
      <c r="AL11" s="40"/>
      <c r="AS11" s="103"/>
      <c r="AT11" s="103"/>
      <c r="AV11" s="40"/>
      <c r="AW11" s="40"/>
      <c r="BB11" s="77"/>
      <c r="BC11" s="77"/>
    </row>
    <row r="12" spans="1:62" x14ac:dyDescent="0.25">
      <c r="B12" s="25" t="s">
        <v>23</v>
      </c>
      <c r="C12" s="149">
        <f>ROUND('Single Trip Standard re Jan25'!C12*SUM(1+1*'ST Standard from 1 Apr25'!$D$1),2)</f>
        <v>11.61</v>
      </c>
      <c r="D12" s="149">
        <f>ROUND('Single Trip Standard re Jan25'!D12*SUM(1+1*'ST Standard from 1 Apr25'!$D$1),2)</f>
        <v>19.13</v>
      </c>
      <c r="E12" s="41"/>
      <c r="F12" s="41">
        <f t="shared" ref="F12:G17" si="18">C12*SUM(1+$G$1/$X$1)</f>
        <v>13.931999999999999</v>
      </c>
      <c r="G12" s="41">
        <f t="shared" si="18"/>
        <v>22.956</v>
      </c>
      <c r="H12" s="82"/>
      <c r="I12" s="41">
        <f t="shared" ref="I12:J17" si="19">F12-C12</f>
        <v>2.3219999999999992</v>
      </c>
      <c r="J12" s="41">
        <f t="shared" si="19"/>
        <v>3.8260000000000005</v>
      </c>
      <c r="K12" s="82"/>
      <c r="L12" s="41">
        <f t="shared" ref="L12:M17" si="20">ROUND(C12*(1+$G$1*2),2)*SUM(1+$M$1)</f>
        <v>15.323</v>
      </c>
      <c r="M12" s="41">
        <f t="shared" si="20"/>
        <v>25.256000000000004</v>
      </c>
      <c r="N12" s="82"/>
      <c r="O12" s="41">
        <f t="shared" ref="O12:P17" si="21">L12-C12</f>
        <v>3.713000000000001</v>
      </c>
      <c r="P12" s="41">
        <f t="shared" si="21"/>
        <v>6.1260000000000048</v>
      </c>
      <c r="Q12" s="82"/>
      <c r="R12" s="76">
        <f t="shared" ref="R12:S17" si="22">AJ12/F12</f>
        <v>9.9770312948607526E-2</v>
      </c>
      <c r="S12" s="76">
        <f t="shared" si="22"/>
        <v>0.10019167102282626</v>
      </c>
      <c r="T12" s="82"/>
      <c r="U12" s="41">
        <f t="shared" ref="U12:V17" si="23">SUM(C12/(1-$X$1))</f>
        <v>23.22</v>
      </c>
      <c r="V12" s="41">
        <f t="shared" si="23"/>
        <v>38.26</v>
      </c>
      <c r="W12" s="82"/>
      <c r="X12" s="41">
        <f t="shared" ref="X12:Y17" si="24">ROUND(C12/(1-$X$1)*1.2,2)</f>
        <v>27.86</v>
      </c>
      <c r="Y12" s="41">
        <f t="shared" si="24"/>
        <v>45.91</v>
      </c>
      <c r="AA12" s="182">
        <f>ROUNDDOWN(C12/(1-$X$1)*1.2,1)</f>
        <v>27.8</v>
      </c>
      <c r="AB12" s="182">
        <f>ROUNDDOWN(D12/(1-$X$1)*1.2,1)</f>
        <v>45.9</v>
      </c>
      <c r="AD12" s="40">
        <f t="shared" ref="AD12:AE17" si="25">AA12/1.2</f>
        <v>23.166666666666668</v>
      </c>
      <c r="AE12" s="40">
        <f t="shared" si="25"/>
        <v>38.25</v>
      </c>
      <c r="AG12" s="40">
        <f>X12-AA12</f>
        <v>5.9999999999998721E-2</v>
      </c>
      <c r="AH12" s="40">
        <f>Y12-AB12</f>
        <v>9.9999999999980105E-3</v>
      </c>
      <c r="AJ12" s="40">
        <f t="shared" ref="AJ12:AK17" si="26">ROUND(L12*(1-(1/(1+$AL$1))),2)</f>
        <v>1.39</v>
      </c>
      <c r="AK12" s="40">
        <f t="shared" si="26"/>
        <v>2.2999999999999998</v>
      </c>
      <c r="AL12" s="40"/>
      <c r="AM12" s="180">
        <f>SUM(U12-F12)-AG12</f>
        <v>9.2280000000000015</v>
      </c>
      <c r="AN12" s="180">
        <f>SUM(V12-G12)-AH12</f>
        <v>15.294</v>
      </c>
      <c r="AP12" s="76">
        <f t="shared" ref="AP12:AQ17" si="27">(SUM(F12-C12)/C12)*$X$1</f>
        <v>9.9999999999999964E-2</v>
      </c>
      <c r="AQ12" s="76">
        <f t="shared" si="27"/>
        <v>0.10000000000000002</v>
      </c>
      <c r="AS12" s="76">
        <f t="shared" ref="AS12:AT17" si="28">AM12/U12</f>
        <v>0.39741602067183474</v>
      </c>
      <c r="AT12" s="76">
        <f t="shared" si="28"/>
        <v>0.39973863042341873</v>
      </c>
      <c r="AV12" s="76">
        <f t="shared" ref="AV12:AW17" si="29">C12/U12</f>
        <v>0.5</v>
      </c>
      <c r="AW12" s="76">
        <f t="shared" si="29"/>
        <v>0.5</v>
      </c>
      <c r="AX12" s="42"/>
      <c r="AY12" s="42">
        <f t="shared" ref="AY12:AZ17" si="30">I12+AM12</f>
        <v>11.55</v>
      </c>
      <c r="AZ12" s="42">
        <f t="shared" si="30"/>
        <v>19.12</v>
      </c>
      <c r="BA12" s="42"/>
      <c r="BB12" s="76">
        <f t="shared" ref="BB12:BC17" si="31">AY12/(C12/$X$1)</f>
        <v>0.49741602067183466</v>
      </c>
      <c r="BC12" s="76">
        <f t="shared" si="31"/>
        <v>0.49973863042341876</v>
      </c>
      <c r="BF12" s="40"/>
      <c r="BG12" s="40"/>
    </row>
    <row r="13" spans="1:62" x14ac:dyDescent="0.25">
      <c r="B13" s="25" t="s">
        <v>24</v>
      </c>
      <c r="C13" s="149">
        <f>ROUND('Single Trip Standard re Jan25'!C13*SUM(1+1*'ST Standard from 1 Apr25'!$D$1),2)</f>
        <v>14.94</v>
      </c>
      <c r="D13" s="149">
        <f>ROUND('Single Trip Standard re Jan25'!D13*SUM(1+1*'ST Standard from 1 Apr25'!$D$1),2)</f>
        <v>22.89</v>
      </c>
      <c r="E13" s="41"/>
      <c r="F13" s="41">
        <f t="shared" si="18"/>
        <v>17.927999999999997</v>
      </c>
      <c r="G13" s="41">
        <f t="shared" si="18"/>
        <v>27.468</v>
      </c>
      <c r="H13" s="82"/>
      <c r="I13" s="41">
        <f t="shared" si="19"/>
        <v>2.9879999999999978</v>
      </c>
      <c r="J13" s="41">
        <f t="shared" si="19"/>
        <v>4.5779999999999994</v>
      </c>
      <c r="K13" s="82"/>
      <c r="L13" s="41">
        <f t="shared" si="20"/>
        <v>19.723000000000003</v>
      </c>
      <c r="M13" s="41">
        <f t="shared" si="20"/>
        <v>30.217000000000002</v>
      </c>
      <c r="N13" s="82"/>
      <c r="O13" s="41">
        <f t="shared" si="21"/>
        <v>4.783000000000003</v>
      </c>
      <c r="P13" s="41">
        <f t="shared" si="21"/>
        <v>7.3270000000000017</v>
      </c>
      <c r="Q13" s="82"/>
      <c r="R13" s="76">
        <f t="shared" si="22"/>
        <v>9.9843819723337807E-2</v>
      </c>
      <c r="S13" s="76">
        <f t="shared" si="22"/>
        <v>0.10011649919906801</v>
      </c>
      <c r="T13" s="82"/>
      <c r="U13" s="41">
        <f t="shared" si="23"/>
        <v>29.88</v>
      </c>
      <c r="V13" s="41">
        <f t="shared" si="23"/>
        <v>45.78</v>
      </c>
      <c r="W13" s="82"/>
      <c r="X13" s="41">
        <f t="shared" si="24"/>
        <v>35.86</v>
      </c>
      <c r="Y13" s="41">
        <f t="shared" si="24"/>
        <v>54.94</v>
      </c>
      <c r="AA13" s="182">
        <f t="shared" ref="AA13:AB16" si="32">ROUNDDOWN(C13/(1-$X$1)*1.2,1)</f>
        <v>35.799999999999997</v>
      </c>
      <c r="AB13" s="182">
        <f t="shared" si="32"/>
        <v>54.9</v>
      </c>
      <c r="AD13" s="40">
        <f t="shared" si="25"/>
        <v>29.833333333333332</v>
      </c>
      <c r="AE13" s="40">
        <f t="shared" si="25"/>
        <v>45.75</v>
      </c>
      <c r="AG13" s="40">
        <f t="shared" ref="AG13:AH17" si="33">X13-AA13</f>
        <v>6.0000000000002274E-2</v>
      </c>
      <c r="AH13" s="40">
        <f t="shared" si="33"/>
        <v>3.9999999999999147E-2</v>
      </c>
      <c r="AJ13" s="40">
        <f t="shared" si="26"/>
        <v>1.79</v>
      </c>
      <c r="AK13" s="40">
        <f t="shared" si="26"/>
        <v>2.75</v>
      </c>
      <c r="AL13" s="40"/>
      <c r="AM13" s="180">
        <f t="shared" ref="AM13:AM17" si="34">SUM(U13-F13)-AG13</f>
        <v>11.891999999999999</v>
      </c>
      <c r="AN13" s="180">
        <f t="shared" ref="AN13:AN17" si="35">SUM(V13-G13)-AH13</f>
        <v>18.272000000000002</v>
      </c>
      <c r="AP13" s="76">
        <f t="shared" si="27"/>
        <v>9.9999999999999922E-2</v>
      </c>
      <c r="AQ13" s="76">
        <f t="shared" si="27"/>
        <v>9.9999999999999978E-2</v>
      </c>
      <c r="AS13" s="76">
        <f t="shared" si="28"/>
        <v>0.39799196787148594</v>
      </c>
      <c r="AT13" s="76">
        <f t="shared" si="28"/>
        <v>0.39912625600698998</v>
      </c>
      <c r="AV13" s="76">
        <f t="shared" si="29"/>
        <v>0.5</v>
      </c>
      <c r="AW13" s="76">
        <f t="shared" si="29"/>
        <v>0.5</v>
      </c>
      <c r="AX13" s="42"/>
      <c r="AY13" s="42">
        <f t="shared" si="30"/>
        <v>14.879999999999997</v>
      </c>
      <c r="AZ13" s="42">
        <f t="shared" si="30"/>
        <v>22.85</v>
      </c>
      <c r="BA13" s="42"/>
      <c r="BB13" s="76">
        <f t="shared" si="31"/>
        <v>0.49799196787148586</v>
      </c>
      <c r="BC13" s="76">
        <f t="shared" si="31"/>
        <v>0.49912625600698995</v>
      </c>
      <c r="BF13" s="40"/>
      <c r="BG13" s="40"/>
    </row>
    <row r="14" spans="1:62" x14ac:dyDescent="0.25">
      <c r="B14" s="25" t="s">
        <v>25</v>
      </c>
      <c r="C14" s="149">
        <f>ROUND('Single Trip Standard re Jan25'!C14*SUM(1+1*'ST Standard from 1 Apr25'!$D$1),2)</f>
        <v>17.59</v>
      </c>
      <c r="D14" s="149">
        <f>ROUND('Single Trip Standard re Jan25'!D14*SUM(1+1*'ST Standard from 1 Apr25'!$D$1),2)</f>
        <v>25.67</v>
      </c>
      <c r="E14" s="41"/>
      <c r="F14" s="41">
        <f t="shared" si="18"/>
        <v>21.108000000000001</v>
      </c>
      <c r="G14" s="41">
        <f t="shared" si="18"/>
        <v>30.804000000000002</v>
      </c>
      <c r="H14" s="82"/>
      <c r="I14" s="41">
        <f t="shared" si="19"/>
        <v>3.5180000000000007</v>
      </c>
      <c r="J14" s="41">
        <f t="shared" si="19"/>
        <v>5.1340000000000003</v>
      </c>
      <c r="K14" s="82"/>
      <c r="L14" s="41">
        <f t="shared" si="20"/>
        <v>23.221</v>
      </c>
      <c r="M14" s="41">
        <f t="shared" si="20"/>
        <v>33.880000000000003</v>
      </c>
      <c r="N14" s="82"/>
      <c r="O14" s="41">
        <f t="shared" si="21"/>
        <v>5.6310000000000002</v>
      </c>
      <c r="P14" s="41">
        <f t="shared" si="21"/>
        <v>8.2100000000000009</v>
      </c>
      <c r="Q14" s="82"/>
      <c r="R14" s="76">
        <f t="shared" si="22"/>
        <v>9.9962099677847249E-2</v>
      </c>
      <c r="S14" s="76">
        <f t="shared" si="22"/>
        <v>9.9987014673419028E-2</v>
      </c>
      <c r="T14" s="82"/>
      <c r="U14" s="41">
        <f t="shared" si="23"/>
        <v>35.18</v>
      </c>
      <c r="V14" s="41">
        <f t="shared" si="23"/>
        <v>51.34</v>
      </c>
      <c r="W14" s="82"/>
      <c r="X14" s="41">
        <f t="shared" si="24"/>
        <v>42.22</v>
      </c>
      <c r="Y14" s="41">
        <f t="shared" si="24"/>
        <v>61.61</v>
      </c>
      <c r="AA14" s="182">
        <f t="shared" si="32"/>
        <v>42.2</v>
      </c>
      <c r="AB14" s="182">
        <f t="shared" si="32"/>
        <v>61.6</v>
      </c>
      <c r="AD14" s="40">
        <f t="shared" si="25"/>
        <v>35.166666666666671</v>
      </c>
      <c r="AE14" s="40">
        <f t="shared" si="25"/>
        <v>51.333333333333336</v>
      </c>
      <c r="AG14" s="40">
        <f t="shared" si="33"/>
        <v>1.9999999999996021E-2</v>
      </c>
      <c r="AH14" s="40">
        <f t="shared" si="33"/>
        <v>9.9999999999980105E-3</v>
      </c>
      <c r="AJ14" s="40">
        <f t="shared" si="26"/>
        <v>2.11</v>
      </c>
      <c r="AK14" s="40">
        <f t="shared" si="26"/>
        <v>3.08</v>
      </c>
      <c r="AL14" s="40"/>
      <c r="AM14" s="180">
        <f t="shared" si="34"/>
        <v>14.052000000000003</v>
      </c>
      <c r="AN14" s="180">
        <f t="shared" si="35"/>
        <v>20.526000000000003</v>
      </c>
      <c r="AP14" s="76">
        <f t="shared" si="27"/>
        <v>0.10000000000000002</v>
      </c>
      <c r="AQ14" s="76">
        <f t="shared" si="27"/>
        <v>0.1</v>
      </c>
      <c r="AS14" s="76">
        <f t="shared" si="28"/>
        <v>0.39943149516770904</v>
      </c>
      <c r="AT14" s="76">
        <f t="shared" si="28"/>
        <v>0.39980522010128561</v>
      </c>
      <c r="AV14" s="76">
        <f t="shared" si="29"/>
        <v>0.5</v>
      </c>
      <c r="AW14" s="76">
        <f t="shared" si="29"/>
        <v>0.5</v>
      </c>
      <c r="AX14" s="42"/>
      <c r="AY14" s="42">
        <f t="shared" si="30"/>
        <v>17.570000000000004</v>
      </c>
      <c r="AZ14" s="42">
        <f t="shared" si="30"/>
        <v>25.660000000000004</v>
      </c>
      <c r="BA14" s="42"/>
      <c r="BB14" s="76">
        <f t="shared" si="31"/>
        <v>0.49943149516770902</v>
      </c>
      <c r="BC14" s="76">
        <f t="shared" si="31"/>
        <v>0.49980522010128559</v>
      </c>
      <c r="BF14" s="40"/>
      <c r="BG14" s="40"/>
    </row>
    <row r="15" spans="1:62" x14ac:dyDescent="0.25">
      <c r="B15" s="25" t="s">
        <v>26</v>
      </c>
      <c r="C15" s="149">
        <f>ROUND('Single Trip Standard re Jan25'!C15*SUM(1+1*'ST Standard from 1 Apr25'!$D$1),2)</f>
        <v>23.23</v>
      </c>
      <c r="D15" s="149">
        <f>ROUND('Single Trip Standard re Jan25'!D15*SUM(1+1*'ST Standard from 1 Apr25'!$D$1),2)</f>
        <v>32.76</v>
      </c>
      <c r="E15" s="41"/>
      <c r="F15" s="41">
        <f t="shared" si="18"/>
        <v>27.876000000000001</v>
      </c>
      <c r="G15" s="41">
        <f t="shared" si="18"/>
        <v>39.311999999999998</v>
      </c>
      <c r="H15" s="82"/>
      <c r="I15" s="41">
        <f t="shared" si="19"/>
        <v>4.6460000000000008</v>
      </c>
      <c r="J15" s="41">
        <f t="shared" si="19"/>
        <v>6.5519999999999996</v>
      </c>
      <c r="K15" s="82"/>
      <c r="L15" s="41">
        <f t="shared" si="20"/>
        <v>30.668000000000003</v>
      </c>
      <c r="M15" s="41">
        <f t="shared" si="20"/>
        <v>43.241000000000007</v>
      </c>
      <c r="N15" s="82"/>
      <c r="O15" s="41">
        <f t="shared" si="21"/>
        <v>7.4380000000000024</v>
      </c>
      <c r="P15" s="41">
        <f t="shared" si="21"/>
        <v>10.481000000000009</v>
      </c>
      <c r="Q15" s="82"/>
      <c r="R15" s="76">
        <f t="shared" si="22"/>
        <v>0.10008609556607835</v>
      </c>
      <c r="S15" s="76">
        <f t="shared" si="22"/>
        <v>9.9969474969474975E-2</v>
      </c>
      <c r="T15" s="82"/>
      <c r="U15" s="41">
        <f t="shared" si="23"/>
        <v>46.46</v>
      </c>
      <c r="V15" s="41">
        <f t="shared" si="23"/>
        <v>65.52</v>
      </c>
      <c r="W15" s="82"/>
      <c r="X15" s="41">
        <f t="shared" si="24"/>
        <v>55.75</v>
      </c>
      <c r="Y15" s="41">
        <f t="shared" si="24"/>
        <v>78.62</v>
      </c>
      <c r="AA15" s="182">
        <f t="shared" si="32"/>
        <v>55.7</v>
      </c>
      <c r="AB15" s="182">
        <f t="shared" si="32"/>
        <v>78.599999999999994</v>
      </c>
      <c r="AD15" s="40">
        <f t="shared" si="25"/>
        <v>46.416666666666671</v>
      </c>
      <c r="AE15" s="40">
        <f t="shared" si="25"/>
        <v>65.5</v>
      </c>
      <c r="AG15" s="40">
        <f t="shared" si="33"/>
        <v>4.9999999999997158E-2</v>
      </c>
      <c r="AH15" s="40">
        <f t="shared" si="33"/>
        <v>2.0000000000010232E-2</v>
      </c>
      <c r="AJ15" s="40">
        <f t="shared" si="26"/>
        <v>2.79</v>
      </c>
      <c r="AK15" s="40">
        <f t="shared" si="26"/>
        <v>3.93</v>
      </c>
      <c r="AL15" s="40"/>
      <c r="AM15" s="180">
        <f t="shared" si="34"/>
        <v>18.534000000000002</v>
      </c>
      <c r="AN15" s="180">
        <f t="shared" si="35"/>
        <v>26.187999999999988</v>
      </c>
      <c r="AP15" s="76">
        <f t="shared" si="27"/>
        <v>0.10000000000000002</v>
      </c>
      <c r="AQ15" s="76">
        <f t="shared" si="27"/>
        <v>0.1</v>
      </c>
      <c r="AS15" s="76">
        <f t="shared" si="28"/>
        <v>0.39892380542402073</v>
      </c>
      <c r="AT15" s="76">
        <f t="shared" si="28"/>
        <v>0.39969474969474955</v>
      </c>
      <c r="AV15" s="76">
        <f t="shared" si="29"/>
        <v>0.5</v>
      </c>
      <c r="AW15" s="76">
        <f t="shared" si="29"/>
        <v>0.5</v>
      </c>
      <c r="AX15" s="42"/>
      <c r="AY15" s="42">
        <f t="shared" si="30"/>
        <v>23.180000000000003</v>
      </c>
      <c r="AZ15" s="42">
        <f t="shared" si="30"/>
        <v>32.739999999999988</v>
      </c>
      <c r="BA15" s="42"/>
      <c r="BB15" s="76">
        <f t="shared" si="31"/>
        <v>0.49892380542402071</v>
      </c>
      <c r="BC15" s="76">
        <f t="shared" si="31"/>
        <v>0.49969474969474953</v>
      </c>
      <c r="BF15" s="40"/>
      <c r="BG15" s="40"/>
    </row>
    <row r="16" spans="1:62" x14ac:dyDescent="0.25">
      <c r="B16" s="25" t="s">
        <v>27</v>
      </c>
      <c r="C16" s="149">
        <f>ROUND('Single Trip Standard re Jan25'!C16*SUM(1+1*'ST Standard from 1 Apr25'!$D$1),2)</f>
        <v>27.41</v>
      </c>
      <c r="D16" s="149">
        <f>ROUND('Single Trip Standard re Jan25'!D16*SUM(1+1*'ST Standard from 1 Apr25'!$D$1),2)</f>
        <v>38.380000000000003</v>
      </c>
      <c r="E16" s="41"/>
      <c r="F16" s="41">
        <f t="shared" si="18"/>
        <v>32.891999999999996</v>
      </c>
      <c r="G16" s="41">
        <f t="shared" si="18"/>
        <v>46.056000000000004</v>
      </c>
      <c r="H16" s="82"/>
      <c r="I16" s="41">
        <f t="shared" si="19"/>
        <v>5.4819999999999958</v>
      </c>
      <c r="J16" s="41">
        <f t="shared" si="19"/>
        <v>7.6760000000000019</v>
      </c>
      <c r="K16" s="82"/>
      <c r="L16" s="41">
        <f t="shared" si="20"/>
        <v>36.179000000000002</v>
      </c>
      <c r="M16" s="41">
        <f t="shared" si="20"/>
        <v>50.666000000000004</v>
      </c>
      <c r="N16" s="82"/>
      <c r="O16" s="41">
        <f t="shared" si="21"/>
        <v>8.7690000000000019</v>
      </c>
      <c r="P16" s="41">
        <f t="shared" si="21"/>
        <v>12.286000000000001</v>
      </c>
      <c r="Q16" s="82"/>
      <c r="R16" s="76">
        <f t="shared" si="22"/>
        <v>0.10002432202359238</v>
      </c>
      <c r="S16" s="76">
        <f t="shared" si="22"/>
        <v>0.1000955358693764</v>
      </c>
      <c r="T16" s="82"/>
      <c r="U16" s="41">
        <f t="shared" si="23"/>
        <v>54.82</v>
      </c>
      <c r="V16" s="41">
        <f t="shared" si="23"/>
        <v>76.760000000000005</v>
      </c>
      <c r="W16" s="82"/>
      <c r="X16" s="41">
        <f t="shared" si="24"/>
        <v>65.78</v>
      </c>
      <c r="Y16" s="41">
        <f t="shared" si="24"/>
        <v>92.11</v>
      </c>
      <c r="AA16" s="182">
        <f t="shared" si="32"/>
        <v>65.7</v>
      </c>
      <c r="AB16" s="182">
        <f t="shared" si="32"/>
        <v>92.1</v>
      </c>
      <c r="AD16" s="40">
        <f t="shared" si="25"/>
        <v>54.750000000000007</v>
      </c>
      <c r="AE16" s="40">
        <f t="shared" si="25"/>
        <v>76.75</v>
      </c>
      <c r="AG16" s="40">
        <f t="shared" si="33"/>
        <v>7.9999999999998295E-2</v>
      </c>
      <c r="AH16" s="40">
        <f t="shared" si="33"/>
        <v>1.0000000000005116E-2</v>
      </c>
      <c r="AJ16" s="40">
        <f t="shared" si="26"/>
        <v>3.29</v>
      </c>
      <c r="AK16" s="40">
        <f t="shared" si="26"/>
        <v>4.6100000000000003</v>
      </c>
      <c r="AL16" s="40"/>
      <c r="AM16" s="180">
        <f t="shared" si="34"/>
        <v>21.848000000000006</v>
      </c>
      <c r="AN16" s="180">
        <f t="shared" si="35"/>
        <v>30.693999999999996</v>
      </c>
      <c r="AP16" s="76">
        <f t="shared" si="27"/>
        <v>9.9999999999999922E-2</v>
      </c>
      <c r="AQ16" s="76">
        <f t="shared" si="27"/>
        <v>0.10000000000000002</v>
      </c>
      <c r="AS16" s="76">
        <f t="shared" si="28"/>
        <v>0.39854067858445835</v>
      </c>
      <c r="AT16" s="76">
        <f t="shared" si="28"/>
        <v>0.3998697238144866</v>
      </c>
      <c r="AV16" s="76">
        <f t="shared" si="29"/>
        <v>0.5</v>
      </c>
      <c r="AW16" s="76">
        <f t="shared" si="29"/>
        <v>0.5</v>
      </c>
      <c r="AX16" s="42"/>
      <c r="AY16" s="42">
        <f t="shared" si="30"/>
        <v>27.330000000000002</v>
      </c>
      <c r="AZ16" s="42">
        <f t="shared" si="30"/>
        <v>38.369999999999997</v>
      </c>
      <c r="BA16" s="42"/>
      <c r="BB16" s="76">
        <f t="shared" si="31"/>
        <v>0.49854067858445827</v>
      </c>
      <c r="BC16" s="76">
        <f t="shared" si="31"/>
        <v>0.49986972381448663</v>
      </c>
      <c r="BF16" s="40"/>
      <c r="BG16" s="40"/>
    </row>
    <row r="17" spans="2:59" x14ac:dyDescent="0.25">
      <c r="B17" s="25" t="s">
        <v>29</v>
      </c>
      <c r="C17" s="149">
        <f>ROUND('Single Trip Standard re Jan25'!C17*SUM(1+1*'ST Standard from 1 Apr25'!$D$1),2)</f>
        <v>3.65</v>
      </c>
      <c r="D17" s="149">
        <f>ROUND('Single Trip Standard re Jan25'!D17*SUM(1+1*'ST Standard from 1 Apr25'!$D$1),2)</f>
        <v>4.96</v>
      </c>
      <c r="E17" s="41"/>
      <c r="F17" s="41">
        <f t="shared" si="18"/>
        <v>4.38</v>
      </c>
      <c r="G17" s="41">
        <f t="shared" si="18"/>
        <v>5.952</v>
      </c>
      <c r="H17" s="82"/>
      <c r="I17" s="41">
        <f t="shared" si="19"/>
        <v>0.73</v>
      </c>
      <c r="J17" s="41">
        <f t="shared" si="19"/>
        <v>0.99199999999999999</v>
      </c>
      <c r="K17" s="82"/>
      <c r="L17" s="41">
        <f t="shared" si="20"/>
        <v>4.8180000000000005</v>
      </c>
      <c r="M17" s="41">
        <f t="shared" si="20"/>
        <v>6.5450000000000008</v>
      </c>
      <c r="N17" s="82"/>
      <c r="O17" s="41">
        <f t="shared" si="21"/>
        <v>1.1680000000000006</v>
      </c>
      <c r="P17" s="41">
        <f t="shared" si="21"/>
        <v>1.5850000000000009</v>
      </c>
      <c r="Q17" s="82"/>
      <c r="R17" s="76">
        <f t="shared" si="22"/>
        <v>0.10045662100456622</v>
      </c>
      <c r="S17" s="76">
        <f t="shared" si="22"/>
        <v>0.10080645161290322</v>
      </c>
      <c r="T17" s="82"/>
      <c r="U17" s="41">
        <f t="shared" si="23"/>
        <v>7.3</v>
      </c>
      <c r="V17" s="41">
        <f t="shared" si="23"/>
        <v>9.92</v>
      </c>
      <c r="W17" s="82"/>
      <c r="X17" s="41">
        <f t="shared" si="24"/>
        <v>8.76</v>
      </c>
      <c r="Y17" s="41">
        <f t="shared" si="24"/>
        <v>11.9</v>
      </c>
      <c r="AA17" s="182">
        <f>ROUNDDOWN(C17/(1-$X$1)*1.2,1)</f>
        <v>8.6999999999999993</v>
      </c>
      <c r="AB17" s="182">
        <f>ROUNDDOWN(D17/(1-$X$1)*1.2,1)</f>
        <v>11.9</v>
      </c>
      <c r="AD17" s="40">
        <f t="shared" si="25"/>
        <v>7.25</v>
      </c>
      <c r="AE17" s="40">
        <f t="shared" si="25"/>
        <v>9.9166666666666679</v>
      </c>
      <c r="AG17" s="40">
        <f t="shared" si="33"/>
        <v>6.0000000000000497E-2</v>
      </c>
      <c r="AH17" s="40">
        <f t="shared" si="33"/>
        <v>0</v>
      </c>
      <c r="AJ17" s="40">
        <f t="shared" si="26"/>
        <v>0.44</v>
      </c>
      <c r="AK17" s="40">
        <f t="shared" si="26"/>
        <v>0.6</v>
      </c>
      <c r="AL17" s="40"/>
      <c r="AM17" s="180">
        <f t="shared" si="34"/>
        <v>2.8599999999999994</v>
      </c>
      <c r="AN17" s="180">
        <f t="shared" si="35"/>
        <v>3.968</v>
      </c>
      <c r="AP17" s="76">
        <f t="shared" si="27"/>
        <v>0.1</v>
      </c>
      <c r="AQ17" s="76">
        <f t="shared" si="27"/>
        <v>0.1</v>
      </c>
      <c r="AS17" s="76">
        <f t="shared" si="28"/>
        <v>0.39178082191780816</v>
      </c>
      <c r="AT17" s="76">
        <f t="shared" si="28"/>
        <v>0.4</v>
      </c>
      <c r="AV17" s="76">
        <f t="shared" si="29"/>
        <v>0.5</v>
      </c>
      <c r="AW17" s="76">
        <f t="shared" si="29"/>
        <v>0.5</v>
      </c>
      <c r="AX17" s="42"/>
      <c r="AY17" s="42">
        <f t="shared" si="30"/>
        <v>3.5899999999999994</v>
      </c>
      <c r="AZ17" s="42">
        <f t="shared" si="30"/>
        <v>4.96</v>
      </c>
      <c r="BA17" s="42"/>
      <c r="BB17" s="76">
        <f t="shared" si="31"/>
        <v>0.49178082191780814</v>
      </c>
      <c r="BC17" s="76">
        <f t="shared" si="31"/>
        <v>0.5</v>
      </c>
      <c r="BF17" s="40"/>
      <c r="BG17" s="40"/>
    </row>
    <row r="18" spans="2:59" x14ac:dyDescent="0.25">
      <c r="B18" s="25"/>
      <c r="C18" s="41"/>
      <c r="D18" s="41"/>
      <c r="E18" s="41"/>
      <c r="F18" s="41"/>
      <c r="G18" s="41"/>
      <c r="H18" s="82"/>
      <c r="I18" s="82"/>
      <c r="J18" s="82"/>
      <c r="K18" s="82"/>
      <c r="L18" s="41"/>
      <c r="M18" s="41"/>
      <c r="N18" s="4"/>
      <c r="O18" s="4"/>
      <c r="P18" s="4"/>
      <c r="Q18" s="4"/>
      <c r="R18" s="78"/>
      <c r="T18" s="4"/>
      <c r="U18" s="4"/>
      <c r="V18" s="4"/>
      <c r="W18" s="4"/>
      <c r="AJ18" s="40"/>
      <c r="AK18" s="40"/>
      <c r="AL18" s="40"/>
      <c r="AS18" s="103"/>
      <c r="AT18" s="103"/>
      <c r="AV18" s="40"/>
      <c r="AW18" s="40"/>
      <c r="BB18" s="77"/>
      <c r="BC18" s="77"/>
    </row>
    <row r="19" spans="2:59" x14ac:dyDescent="0.25">
      <c r="B19" s="32" t="s">
        <v>30</v>
      </c>
      <c r="C19" s="41"/>
      <c r="D19" s="41"/>
      <c r="E19" s="41"/>
      <c r="F19" s="41"/>
      <c r="G19" s="41"/>
      <c r="H19" s="82"/>
      <c r="I19" s="82"/>
      <c r="J19" s="82"/>
      <c r="K19" s="82"/>
      <c r="L19" s="41"/>
      <c r="M19" s="41"/>
      <c r="N19" s="4"/>
      <c r="O19" s="4"/>
      <c r="P19" s="4"/>
      <c r="Q19" s="4"/>
      <c r="R19" s="78"/>
      <c r="T19" s="4"/>
      <c r="U19" s="4"/>
      <c r="V19" s="4"/>
      <c r="W19" s="4"/>
      <c r="AJ19" s="40"/>
      <c r="AK19" s="40"/>
      <c r="AL19" s="40"/>
      <c r="AS19" s="103"/>
      <c r="AT19" s="103"/>
      <c r="AV19" s="40"/>
      <c r="AW19" s="40"/>
      <c r="BB19" s="77"/>
      <c r="BC19" s="77"/>
    </row>
    <row r="20" spans="2:59" x14ac:dyDescent="0.25">
      <c r="B20" s="25" t="s">
        <v>31</v>
      </c>
      <c r="C20" s="149">
        <f>ROUND('Single Trip Standard re Jan25'!C20*SUM(1+1*'ST Standard from 1 Apr25'!$D$1),2)</f>
        <v>24.45</v>
      </c>
      <c r="D20" s="149">
        <f>ROUND('Single Trip Standard re Jan25'!D20*SUM(1+1*'ST Standard from 1 Apr25'!$D$1),2)</f>
        <v>30.32</v>
      </c>
      <c r="E20" s="41"/>
      <c r="F20" s="41">
        <f t="shared" ref="F20:G25" si="36">C20*SUM(1+$G$1/$X$1)</f>
        <v>29.339999999999996</v>
      </c>
      <c r="G20" s="41">
        <f t="shared" si="36"/>
        <v>36.384</v>
      </c>
      <c r="H20" s="82"/>
      <c r="I20" s="41">
        <f t="shared" ref="I20:J25" si="37">F20-C20</f>
        <v>4.889999999999997</v>
      </c>
      <c r="J20" s="41">
        <f t="shared" si="37"/>
        <v>6.0640000000000001</v>
      </c>
      <c r="K20" s="82"/>
      <c r="L20" s="41">
        <f t="shared" ref="L20:M25" si="38">ROUND(C20*(1+$G$1*2),2)*SUM(1+$M$1)</f>
        <v>32.274000000000001</v>
      </c>
      <c r="M20" s="41">
        <f t="shared" si="38"/>
        <v>40.018000000000008</v>
      </c>
      <c r="N20" s="82"/>
      <c r="O20" s="41">
        <f t="shared" ref="O20:P25" si="39">L20-C20</f>
        <v>7.8240000000000016</v>
      </c>
      <c r="P20" s="41">
        <f t="shared" si="39"/>
        <v>9.6980000000000075</v>
      </c>
      <c r="Q20" s="82"/>
      <c r="R20" s="76">
        <f t="shared" ref="R20:S25" si="40">AJ20/F20</f>
        <v>9.9863667348329938E-2</v>
      </c>
      <c r="S20" s="76">
        <f t="shared" si="40"/>
        <v>0.10004397537379069</v>
      </c>
      <c r="T20" s="82"/>
      <c r="U20" s="41">
        <f t="shared" ref="U20:V25" si="41">SUM(C20/(1-$X$1))</f>
        <v>48.9</v>
      </c>
      <c r="V20" s="41">
        <f t="shared" si="41"/>
        <v>60.64</v>
      </c>
      <c r="W20" s="82"/>
      <c r="X20" s="41">
        <f t="shared" ref="X20:Y25" si="42">ROUND(C20/(1-$X$1)*1.2,2)</f>
        <v>58.68</v>
      </c>
      <c r="Y20" s="41">
        <f t="shared" si="42"/>
        <v>72.77</v>
      </c>
      <c r="AA20" s="182">
        <f>ROUNDDOWN(C20/(1-$X$1)*1.2,1)</f>
        <v>58.6</v>
      </c>
      <c r="AB20" s="182">
        <f>ROUNDDOWN(D20/(1-$X$1)*1.2,1)</f>
        <v>72.7</v>
      </c>
      <c r="AD20" s="40">
        <f t="shared" ref="AD20:AE25" si="43">AA20/1.2</f>
        <v>48.833333333333336</v>
      </c>
      <c r="AE20" s="40">
        <f t="shared" si="43"/>
        <v>60.583333333333336</v>
      </c>
      <c r="AG20" s="40">
        <f>X20-AA20</f>
        <v>7.9999999999998295E-2</v>
      </c>
      <c r="AH20" s="40">
        <f>Y20-AB20</f>
        <v>6.9999999999993179E-2</v>
      </c>
      <c r="AJ20" s="40">
        <f t="shared" ref="AJ20:AK25" si="44">ROUND(L20*(1-(1/(1+$AL$1))),2)</f>
        <v>2.93</v>
      </c>
      <c r="AK20" s="40">
        <f t="shared" si="44"/>
        <v>3.64</v>
      </c>
      <c r="AL20" s="40"/>
      <c r="AM20" s="180">
        <f>SUM(U20-F20)-AG20</f>
        <v>19.480000000000004</v>
      </c>
      <c r="AN20" s="180">
        <f>SUM(V20-G20)-AH20</f>
        <v>24.186000000000007</v>
      </c>
      <c r="AP20" s="76">
        <f t="shared" ref="AP20:AQ25" si="45">(SUM(F20-C20)/C20)*$X$1</f>
        <v>9.9999999999999936E-2</v>
      </c>
      <c r="AQ20" s="76">
        <f t="shared" si="45"/>
        <v>0.1</v>
      </c>
      <c r="AS20" s="76">
        <f t="shared" ref="AS20:AT25" si="46">AM20/U20</f>
        <v>0.39836400817995921</v>
      </c>
      <c r="AT20" s="76">
        <f t="shared" si="46"/>
        <v>0.39884564643799486</v>
      </c>
      <c r="AV20" s="76">
        <f t="shared" ref="AV20:AW25" si="47">C20/U20</f>
        <v>0.5</v>
      </c>
      <c r="AW20" s="76">
        <f t="shared" si="47"/>
        <v>0.5</v>
      </c>
      <c r="AX20" s="42"/>
      <c r="AY20" s="42">
        <f t="shared" ref="AY20:AZ25" si="48">I20+AM20</f>
        <v>24.37</v>
      </c>
      <c r="AZ20" s="42">
        <f t="shared" si="48"/>
        <v>30.250000000000007</v>
      </c>
      <c r="BA20" s="42"/>
      <c r="BB20" s="76">
        <f t="shared" ref="BB20:BC25" si="49">AY20/(C20/$X$1)</f>
        <v>0.49836400817995913</v>
      </c>
      <c r="BC20" s="76">
        <f t="shared" si="49"/>
        <v>0.49884564643799484</v>
      </c>
      <c r="BF20" s="40"/>
      <c r="BG20" s="40"/>
    </row>
    <row r="21" spans="2:59" x14ac:dyDescent="0.25">
      <c r="B21" s="25" t="s">
        <v>24</v>
      </c>
      <c r="C21" s="149">
        <f>ROUND('Single Trip Standard re Jan25'!C21*SUM(1+1*'ST Standard from 1 Apr25'!$D$1),2)</f>
        <v>29.44</v>
      </c>
      <c r="D21" s="149">
        <f>ROUND('Single Trip Standard re Jan25'!D21*SUM(1+1*'ST Standard from 1 Apr25'!$D$1),2)</f>
        <v>33.78</v>
      </c>
      <c r="E21" s="41"/>
      <c r="F21" s="41">
        <f t="shared" si="36"/>
        <v>35.328000000000003</v>
      </c>
      <c r="G21" s="41">
        <f t="shared" si="36"/>
        <v>40.536000000000001</v>
      </c>
      <c r="H21" s="82"/>
      <c r="I21" s="41">
        <f t="shared" si="37"/>
        <v>5.8880000000000017</v>
      </c>
      <c r="J21" s="41">
        <f t="shared" si="37"/>
        <v>6.7560000000000002</v>
      </c>
      <c r="K21" s="82"/>
      <c r="L21" s="41">
        <f t="shared" si="38"/>
        <v>38.863</v>
      </c>
      <c r="M21" s="41">
        <f t="shared" si="38"/>
        <v>44.594000000000001</v>
      </c>
      <c r="N21" s="82"/>
      <c r="O21" s="41">
        <f t="shared" si="39"/>
        <v>9.4229999999999983</v>
      </c>
      <c r="P21" s="41">
        <f t="shared" si="39"/>
        <v>10.814</v>
      </c>
      <c r="Q21" s="82"/>
      <c r="R21" s="76">
        <f t="shared" si="40"/>
        <v>9.9920742753623171E-2</v>
      </c>
      <c r="S21" s="76">
        <f t="shared" si="40"/>
        <v>9.9911190053285956E-2</v>
      </c>
      <c r="T21" s="82"/>
      <c r="U21" s="41">
        <f t="shared" si="41"/>
        <v>58.88</v>
      </c>
      <c r="V21" s="41">
        <f t="shared" si="41"/>
        <v>67.56</v>
      </c>
      <c r="W21" s="82"/>
      <c r="X21" s="41">
        <f t="shared" si="42"/>
        <v>70.66</v>
      </c>
      <c r="Y21" s="41">
        <f t="shared" si="42"/>
        <v>81.069999999999993</v>
      </c>
      <c r="AA21" s="182">
        <f t="shared" ref="AA21:AB24" si="50">ROUNDDOWN(C21/(1-$X$1)*1.2,1)</f>
        <v>70.599999999999994</v>
      </c>
      <c r="AB21" s="182">
        <f t="shared" si="50"/>
        <v>81</v>
      </c>
      <c r="AD21" s="40">
        <f t="shared" si="43"/>
        <v>58.833333333333329</v>
      </c>
      <c r="AE21" s="40">
        <f t="shared" si="43"/>
        <v>67.5</v>
      </c>
      <c r="AG21" s="40">
        <f t="shared" ref="AG21:AH25" si="51">X21-AA21</f>
        <v>6.0000000000002274E-2</v>
      </c>
      <c r="AH21" s="40">
        <f t="shared" si="51"/>
        <v>6.9999999999993179E-2</v>
      </c>
      <c r="AJ21" s="40">
        <f t="shared" si="44"/>
        <v>3.53</v>
      </c>
      <c r="AK21" s="40">
        <f t="shared" si="44"/>
        <v>4.05</v>
      </c>
      <c r="AL21" s="40"/>
      <c r="AM21" s="180">
        <f t="shared" ref="AM21:AM25" si="52">SUM(U21-F21)-AG21</f>
        <v>23.491999999999997</v>
      </c>
      <c r="AN21" s="180">
        <f t="shared" ref="AN21:AN25" si="53">SUM(V21-G21)-AH21</f>
        <v>26.954000000000008</v>
      </c>
      <c r="AP21" s="76">
        <f t="shared" si="45"/>
        <v>0.10000000000000002</v>
      </c>
      <c r="AQ21" s="76">
        <f t="shared" si="45"/>
        <v>0.1</v>
      </c>
      <c r="AS21" s="76">
        <f t="shared" si="46"/>
        <v>0.39898097826086948</v>
      </c>
      <c r="AT21" s="76">
        <f t="shared" si="46"/>
        <v>0.39896388395500304</v>
      </c>
      <c r="AV21" s="76">
        <f t="shared" si="47"/>
        <v>0.5</v>
      </c>
      <c r="AW21" s="76">
        <f t="shared" si="47"/>
        <v>0.5</v>
      </c>
      <c r="AX21" s="42"/>
      <c r="AY21" s="42">
        <f t="shared" si="48"/>
        <v>29.38</v>
      </c>
      <c r="AZ21" s="42">
        <f t="shared" si="48"/>
        <v>33.710000000000008</v>
      </c>
      <c r="BA21" s="42"/>
      <c r="BB21" s="76">
        <f t="shared" si="49"/>
        <v>0.49898097826086951</v>
      </c>
      <c r="BC21" s="76">
        <f t="shared" si="49"/>
        <v>0.49896388395500307</v>
      </c>
      <c r="BF21" s="40"/>
      <c r="BG21" s="40"/>
    </row>
    <row r="22" spans="2:59" x14ac:dyDescent="0.25">
      <c r="B22" s="25" t="s">
        <v>25</v>
      </c>
      <c r="C22" s="149">
        <f>ROUND('Single Trip Standard re Jan25'!C22*SUM(1+1*'ST Standard from 1 Apr25'!$D$1),2)</f>
        <v>35.93</v>
      </c>
      <c r="D22" s="149">
        <f>ROUND('Single Trip Standard re Jan25'!D22*SUM(1+1*'ST Standard from 1 Apr25'!$D$1),2)</f>
        <v>41.53</v>
      </c>
      <c r="E22" s="41"/>
      <c r="F22" s="41">
        <f t="shared" si="36"/>
        <v>43.116</v>
      </c>
      <c r="G22" s="41">
        <f t="shared" si="36"/>
        <v>49.835999999999999</v>
      </c>
      <c r="H22" s="82"/>
      <c r="I22" s="41">
        <f t="shared" si="37"/>
        <v>7.1859999999999999</v>
      </c>
      <c r="J22" s="41">
        <f t="shared" si="37"/>
        <v>8.3059999999999974</v>
      </c>
      <c r="K22" s="82"/>
      <c r="L22" s="41">
        <f t="shared" si="38"/>
        <v>47.432000000000002</v>
      </c>
      <c r="M22" s="41">
        <f t="shared" si="38"/>
        <v>54.824000000000005</v>
      </c>
      <c r="N22" s="82"/>
      <c r="O22" s="41">
        <f t="shared" si="39"/>
        <v>11.502000000000002</v>
      </c>
      <c r="P22" s="41">
        <f t="shared" si="39"/>
        <v>13.294000000000004</v>
      </c>
      <c r="Q22" s="82"/>
      <c r="R22" s="76">
        <f t="shared" si="40"/>
        <v>9.9962890806197233E-2</v>
      </c>
      <c r="S22" s="76">
        <f t="shared" si="40"/>
        <v>9.9927763062846148E-2</v>
      </c>
      <c r="T22" s="82"/>
      <c r="U22" s="41">
        <f t="shared" si="41"/>
        <v>71.86</v>
      </c>
      <c r="V22" s="41">
        <f t="shared" si="41"/>
        <v>83.06</v>
      </c>
      <c r="W22" s="82"/>
      <c r="X22" s="41">
        <f t="shared" si="42"/>
        <v>86.23</v>
      </c>
      <c r="Y22" s="41">
        <f t="shared" si="42"/>
        <v>99.67</v>
      </c>
      <c r="AA22" s="182">
        <f t="shared" si="50"/>
        <v>86.2</v>
      </c>
      <c r="AB22" s="182">
        <f t="shared" si="50"/>
        <v>99.6</v>
      </c>
      <c r="AD22" s="40">
        <f t="shared" si="43"/>
        <v>71.833333333333343</v>
      </c>
      <c r="AE22" s="40">
        <f t="shared" si="43"/>
        <v>83</v>
      </c>
      <c r="AG22" s="40">
        <f t="shared" si="51"/>
        <v>3.0000000000001137E-2</v>
      </c>
      <c r="AH22" s="40">
        <f t="shared" si="51"/>
        <v>7.000000000000739E-2</v>
      </c>
      <c r="AJ22" s="40">
        <f t="shared" si="44"/>
        <v>4.3099999999999996</v>
      </c>
      <c r="AK22" s="40">
        <f t="shared" si="44"/>
        <v>4.9800000000000004</v>
      </c>
      <c r="AL22" s="40"/>
      <c r="AM22" s="180">
        <f t="shared" si="52"/>
        <v>28.713999999999999</v>
      </c>
      <c r="AN22" s="180">
        <f t="shared" si="53"/>
        <v>33.153999999999996</v>
      </c>
      <c r="AP22" s="76">
        <f t="shared" si="45"/>
        <v>0.1</v>
      </c>
      <c r="AQ22" s="76">
        <f t="shared" si="45"/>
        <v>9.9999999999999964E-2</v>
      </c>
      <c r="AS22" s="76">
        <f t="shared" si="46"/>
        <v>0.39958252156971891</v>
      </c>
      <c r="AT22" s="76">
        <f t="shared" si="46"/>
        <v>0.39915723573320488</v>
      </c>
      <c r="AV22" s="76">
        <f t="shared" si="47"/>
        <v>0.5</v>
      </c>
      <c r="AW22" s="76">
        <f t="shared" si="47"/>
        <v>0.5</v>
      </c>
      <c r="AX22" s="42"/>
      <c r="AY22" s="42">
        <f t="shared" si="48"/>
        <v>35.9</v>
      </c>
      <c r="AZ22" s="42">
        <f t="shared" si="48"/>
        <v>41.459999999999994</v>
      </c>
      <c r="BA22" s="42"/>
      <c r="BB22" s="76">
        <f t="shared" si="49"/>
        <v>0.49958252156971888</v>
      </c>
      <c r="BC22" s="76">
        <f t="shared" si="49"/>
        <v>0.49915723573320481</v>
      </c>
      <c r="BF22" s="40"/>
      <c r="BG22" s="40"/>
    </row>
    <row r="23" spans="2:59" x14ac:dyDescent="0.25">
      <c r="B23" s="25" t="s">
        <v>26</v>
      </c>
      <c r="C23" s="149">
        <f>ROUND('Single Trip Standard re Jan25'!C23*SUM(1+1*'ST Standard from 1 Apr25'!$D$1),2)</f>
        <v>44.38</v>
      </c>
      <c r="D23" s="149">
        <f>ROUND('Single Trip Standard re Jan25'!D23*SUM(1+1*'ST Standard from 1 Apr25'!$D$1),2)</f>
        <v>51.23</v>
      </c>
      <c r="E23" s="41"/>
      <c r="F23" s="41">
        <f t="shared" si="36"/>
        <v>53.256</v>
      </c>
      <c r="G23" s="41">
        <f t="shared" si="36"/>
        <v>61.475999999999992</v>
      </c>
      <c r="H23" s="82"/>
      <c r="I23" s="41">
        <f t="shared" si="37"/>
        <v>8.8759999999999977</v>
      </c>
      <c r="J23" s="41">
        <f t="shared" si="37"/>
        <v>10.245999999999995</v>
      </c>
      <c r="K23" s="82"/>
      <c r="L23" s="41">
        <f t="shared" si="38"/>
        <v>58.586000000000006</v>
      </c>
      <c r="M23" s="41">
        <f t="shared" si="38"/>
        <v>67.628</v>
      </c>
      <c r="N23" s="82"/>
      <c r="O23" s="41">
        <f t="shared" si="39"/>
        <v>14.206000000000003</v>
      </c>
      <c r="P23" s="41">
        <f t="shared" si="39"/>
        <v>16.398000000000003</v>
      </c>
      <c r="Q23" s="82"/>
      <c r="R23" s="76">
        <f t="shared" si="40"/>
        <v>0.10008261979870813</v>
      </c>
      <c r="S23" s="76">
        <f t="shared" si="40"/>
        <v>0.10003903962521962</v>
      </c>
      <c r="T23" s="82"/>
      <c r="U23" s="41">
        <f t="shared" si="41"/>
        <v>88.76</v>
      </c>
      <c r="V23" s="41">
        <f t="shared" si="41"/>
        <v>102.46</v>
      </c>
      <c r="W23" s="82"/>
      <c r="X23" s="41">
        <f t="shared" si="42"/>
        <v>106.51</v>
      </c>
      <c r="Y23" s="41">
        <f t="shared" si="42"/>
        <v>122.95</v>
      </c>
      <c r="AA23" s="182">
        <f t="shared" si="50"/>
        <v>106.5</v>
      </c>
      <c r="AB23" s="182">
        <f t="shared" si="50"/>
        <v>122.9</v>
      </c>
      <c r="AD23" s="40">
        <f t="shared" si="43"/>
        <v>88.75</v>
      </c>
      <c r="AE23" s="40">
        <f t="shared" si="43"/>
        <v>102.41666666666667</v>
      </c>
      <c r="AG23" s="40">
        <f t="shared" si="51"/>
        <v>1.0000000000005116E-2</v>
      </c>
      <c r="AH23" s="40">
        <f t="shared" si="51"/>
        <v>4.9999999999997158E-2</v>
      </c>
      <c r="AJ23" s="40">
        <f t="shared" si="44"/>
        <v>5.33</v>
      </c>
      <c r="AK23" s="40">
        <f t="shared" si="44"/>
        <v>6.15</v>
      </c>
      <c r="AL23" s="40"/>
      <c r="AM23" s="180">
        <f t="shared" si="52"/>
        <v>35.494</v>
      </c>
      <c r="AN23" s="180">
        <f t="shared" si="53"/>
        <v>40.934000000000005</v>
      </c>
      <c r="AP23" s="76">
        <f t="shared" si="45"/>
        <v>9.9999999999999964E-2</v>
      </c>
      <c r="AQ23" s="76">
        <f t="shared" si="45"/>
        <v>9.9999999999999964E-2</v>
      </c>
      <c r="AS23" s="76">
        <f t="shared" si="46"/>
        <v>0.39988733663812526</v>
      </c>
      <c r="AT23" s="76">
        <f t="shared" si="46"/>
        <v>0.39951200468475512</v>
      </c>
      <c r="AV23" s="76">
        <f t="shared" si="47"/>
        <v>0.5</v>
      </c>
      <c r="AW23" s="76">
        <f t="shared" si="47"/>
        <v>0.5</v>
      </c>
      <c r="AX23" s="42"/>
      <c r="AY23" s="42">
        <f t="shared" si="48"/>
        <v>44.37</v>
      </c>
      <c r="AZ23" s="42">
        <f t="shared" si="48"/>
        <v>51.18</v>
      </c>
      <c r="BA23" s="42"/>
      <c r="BB23" s="76">
        <f t="shared" si="49"/>
        <v>0.49988733663812523</v>
      </c>
      <c r="BC23" s="76">
        <f t="shared" si="49"/>
        <v>0.49951200468475504</v>
      </c>
      <c r="BF23" s="40"/>
      <c r="BG23" s="40"/>
    </row>
    <row r="24" spans="2:59" x14ac:dyDescent="0.25">
      <c r="B24" s="25" t="s">
        <v>27</v>
      </c>
      <c r="C24" s="149">
        <f>ROUND('Single Trip Standard re Jan25'!C24*SUM(1+1*'ST Standard from 1 Apr25'!$D$1),2)</f>
        <v>49.87</v>
      </c>
      <c r="D24" s="149">
        <f>ROUND('Single Trip Standard re Jan25'!D24*SUM(1+1*'ST Standard from 1 Apr25'!$D$1),2)</f>
        <v>56.55</v>
      </c>
      <c r="E24" s="41"/>
      <c r="F24" s="41">
        <f t="shared" si="36"/>
        <v>59.843999999999994</v>
      </c>
      <c r="G24" s="41">
        <f t="shared" si="36"/>
        <v>67.86</v>
      </c>
      <c r="H24" s="82"/>
      <c r="I24" s="41">
        <f t="shared" si="37"/>
        <v>9.9739999999999966</v>
      </c>
      <c r="J24" s="41">
        <f t="shared" si="37"/>
        <v>11.310000000000002</v>
      </c>
      <c r="K24" s="82"/>
      <c r="L24" s="41">
        <f t="shared" si="38"/>
        <v>65.824000000000012</v>
      </c>
      <c r="M24" s="41">
        <f t="shared" si="38"/>
        <v>74.646000000000001</v>
      </c>
      <c r="N24" s="82"/>
      <c r="O24" s="41">
        <f t="shared" si="39"/>
        <v>15.954000000000015</v>
      </c>
      <c r="P24" s="41">
        <f t="shared" si="39"/>
        <v>18.096000000000004</v>
      </c>
      <c r="Q24" s="82"/>
      <c r="R24" s="76">
        <f t="shared" si="40"/>
        <v>9.9926475502974413E-2</v>
      </c>
      <c r="S24" s="76">
        <f t="shared" si="40"/>
        <v>0.1000589448865311</v>
      </c>
      <c r="T24" s="82"/>
      <c r="U24" s="41">
        <f t="shared" si="41"/>
        <v>99.74</v>
      </c>
      <c r="V24" s="41">
        <f t="shared" si="41"/>
        <v>113.1</v>
      </c>
      <c r="W24" s="82"/>
      <c r="X24" s="41">
        <f t="shared" si="42"/>
        <v>119.69</v>
      </c>
      <c r="Y24" s="41">
        <f t="shared" si="42"/>
        <v>135.72</v>
      </c>
      <c r="AA24" s="182">
        <f t="shared" si="50"/>
        <v>119.6</v>
      </c>
      <c r="AB24" s="182">
        <f t="shared" si="50"/>
        <v>135.69999999999999</v>
      </c>
      <c r="AD24" s="40">
        <f t="shared" si="43"/>
        <v>99.666666666666671</v>
      </c>
      <c r="AE24" s="40">
        <f t="shared" si="43"/>
        <v>113.08333333333333</v>
      </c>
      <c r="AG24" s="40">
        <f t="shared" si="51"/>
        <v>9.0000000000003411E-2</v>
      </c>
      <c r="AH24" s="40">
        <f t="shared" si="51"/>
        <v>2.0000000000010232E-2</v>
      </c>
      <c r="AJ24" s="40">
        <f t="shared" si="44"/>
        <v>5.98</v>
      </c>
      <c r="AK24" s="40">
        <f t="shared" si="44"/>
        <v>6.79</v>
      </c>
      <c r="AL24" s="40"/>
      <c r="AM24" s="180">
        <f t="shared" si="52"/>
        <v>39.805999999999997</v>
      </c>
      <c r="AN24" s="180">
        <f t="shared" si="53"/>
        <v>45.219999999999985</v>
      </c>
      <c r="AP24" s="76">
        <f t="shared" si="45"/>
        <v>9.9999999999999978E-2</v>
      </c>
      <c r="AQ24" s="76">
        <f t="shared" si="45"/>
        <v>0.10000000000000002</v>
      </c>
      <c r="AS24" s="76">
        <f t="shared" si="46"/>
        <v>0.39909765390014035</v>
      </c>
      <c r="AT24" s="76">
        <f t="shared" si="46"/>
        <v>0.39982316534040663</v>
      </c>
      <c r="AV24" s="76">
        <f t="shared" si="47"/>
        <v>0.5</v>
      </c>
      <c r="AW24" s="76">
        <f t="shared" si="47"/>
        <v>0.5</v>
      </c>
      <c r="AX24" s="42"/>
      <c r="AY24" s="42">
        <f t="shared" si="48"/>
        <v>49.779999999999994</v>
      </c>
      <c r="AZ24" s="42">
        <f t="shared" si="48"/>
        <v>56.529999999999987</v>
      </c>
      <c r="BA24" s="42"/>
      <c r="BB24" s="76">
        <f t="shared" si="49"/>
        <v>0.49909765390014033</v>
      </c>
      <c r="BC24" s="76">
        <f t="shared" si="49"/>
        <v>0.49982316534040661</v>
      </c>
      <c r="BF24" s="40"/>
      <c r="BG24" s="40"/>
    </row>
    <row r="25" spans="2:59" x14ac:dyDescent="0.25">
      <c r="B25" s="25" t="s">
        <v>29</v>
      </c>
      <c r="C25" s="149">
        <f>ROUND('Single Trip Standard re Jan25'!C25*SUM(1+1*'ST Standard from 1 Apr25'!$D$1),2)</f>
        <v>7.05</v>
      </c>
      <c r="D25" s="149">
        <f>ROUND('Single Trip Standard re Jan25'!D25*SUM(1+1*'ST Standard from 1 Apr25'!$D$1),2)</f>
        <v>7.71</v>
      </c>
      <c r="E25" s="41"/>
      <c r="F25" s="41">
        <f t="shared" si="36"/>
        <v>8.4599999999999991</v>
      </c>
      <c r="G25" s="41">
        <f t="shared" si="36"/>
        <v>9.2519999999999989</v>
      </c>
      <c r="H25" s="82"/>
      <c r="I25" s="41">
        <f t="shared" si="37"/>
        <v>1.4099999999999993</v>
      </c>
      <c r="J25" s="41">
        <f t="shared" si="37"/>
        <v>1.5419999999999989</v>
      </c>
      <c r="K25" s="82"/>
      <c r="L25" s="41">
        <f t="shared" si="38"/>
        <v>9.3060000000000009</v>
      </c>
      <c r="M25" s="41">
        <f t="shared" si="38"/>
        <v>10.175000000000001</v>
      </c>
      <c r="N25" s="82"/>
      <c r="O25" s="41">
        <f t="shared" si="39"/>
        <v>2.2560000000000011</v>
      </c>
      <c r="P25" s="41">
        <f t="shared" si="39"/>
        <v>2.4650000000000007</v>
      </c>
      <c r="Q25" s="82"/>
      <c r="R25" s="76">
        <f t="shared" si="40"/>
        <v>0.10047281323877069</v>
      </c>
      <c r="S25" s="76">
        <f t="shared" si="40"/>
        <v>0.1005188067444877</v>
      </c>
      <c r="T25" s="82"/>
      <c r="U25" s="41">
        <f t="shared" si="41"/>
        <v>14.1</v>
      </c>
      <c r="V25" s="41">
        <f t="shared" si="41"/>
        <v>15.42</v>
      </c>
      <c r="W25" s="82"/>
      <c r="X25" s="41">
        <f t="shared" si="42"/>
        <v>16.920000000000002</v>
      </c>
      <c r="Y25" s="41">
        <f t="shared" si="42"/>
        <v>18.5</v>
      </c>
      <c r="AA25" s="182">
        <f>ROUNDDOWN(C25/(1-$X$1)*1.2,1)</f>
        <v>16.899999999999999</v>
      </c>
      <c r="AB25" s="182">
        <f>ROUNDDOWN(D25/(1-$X$1)*1.2,1)</f>
        <v>18.5</v>
      </c>
      <c r="AD25" s="40">
        <f t="shared" si="43"/>
        <v>14.083333333333332</v>
      </c>
      <c r="AE25" s="40">
        <f t="shared" si="43"/>
        <v>15.416666666666668</v>
      </c>
      <c r="AG25" s="40">
        <f t="shared" si="51"/>
        <v>2.0000000000003126E-2</v>
      </c>
      <c r="AH25" s="40">
        <f t="shared" si="51"/>
        <v>0</v>
      </c>
      <c r="AJ25" s="40">
        <f t="shared" si="44"/>
        <v>0.85</v>
      </c>
      <c r="AK25" s="40">
        <f t="shared" si="44"/>
        <v>0.93</v>
      </c>
      <c r="AL25" s="40"/>
      <c r="AM25" s="180">
        <f t="shared" si="52"/>
        <v>5.6199999999999974</v>
      </c>
      <c r="AN25" s="180">
        <f t="shared" si="53"/>
        <v>6.168000000000001</v>
      </c>
      <c r="AP25" s="76">
        <f t="shared" si="45"/>
        <v>9.999999999999995E-2</v>
      </c>
      <c r="AQ25" s="76">
        <f t="shared" si="45"/>
        <v>9.9999999999999936E-2</v>
      </c>
      <c r="AS25" s="76">
        <f t="shared" si="46"/>
        <v>0.3985815602836878</v>
      </c>
      <c r="AT25" s="76">
        <f t="shared" si="46"/>
        <v>0.40000000000000008</v>
      </c>
      <c r="AV25" s="76">
        <f t="shared" si="47"/>
        <v>0.5</v>
      </c>
      <c r="AW25" s="76">
        <f t="shared" si="47"/>
        <v>0.5</v>
      </c>
      <c r="AX25" s="42"/>
      <c r="AY25" s="42">
        <f t="shared" si="48"/>
        <v>7.0299999999999967</v>
      </c>
      <c r="AZ25" s="42">
        <f t="shared" si="48"/>
        <v>7.71</v>
      </c>
      <c r="BA25" s="42"/>
      <c r="BB25" s="76">
        <f t="shared" si="49"/>
        <v>0.49858156028368772</v>
      </c>
      <c r="BC25" s="76">
        <f t="shared" si="49"/>
        <v>0.5</v>
      </c>
      <c r="BF25" s="40"/>
      <c r="BG25" s="40"/>
    </row>
    <row r="26" spans="2:59" x14ac:dyDescent="0.25">
      <c r="B26" s="25"/>
      <c r="C26" s="41"/>
      <c r="D26" s="41"/>
      <c r="E26" s="41"/>
      <c r="F26" s="41"/>
      <c r="G26" s="41"/>
      <c r="H26" s="82"/>
      <c r="I26" s="82"/>
      <c r="J26" s="82"/>
      <c r="K26" s="82"/>
      <c r="L26" s="41"/>
      <c r="M26" s="41"/>
      <c r="N26" s="4"/>
      <c r="O26" s="4"/>
      <c r="P26" s="4"/>
      <c r="Q26" s="4"/>
      <c r="R26" s="78"/>
      <c r="T26" s="4"/>
      <c r="U26" s="4"/>
      <c r="V26" s="4"/>
      <c r="W26" s="4"/>
      <c r="AJ26" s="40"/>
      <c r="AK26" s="40"/>
      <c r="AL26" s="40"/>
      <c r="AM26" s="102"/>
      <c r="AN26" s="102"/>
      <c r="AS26" s="76"/>
      <c r="AT26" s="76"/>
      <c r="AV26" s="40"/>
      <c r="AW26" s="40"/>
      <c r="BB26" s="77"/>
      <c r="BC26" s="77"/>
    </row>
    <row r="27" spans="2:59" x14ac:dyDescent="0.25">
      <c r="B27" s="32" t="s">
        <v>32</v>
      </c>
      <c r="C27" s="41"/>
      <c r="D27" s="41"/>
      <c r="E27" s="41"/>
      <c r="F27" s="41"/>
      <c r="G27" s="41"/>
      <c r="H27" s="82"/>
      <c r="I27" s="82"/>
      <c r="J27" s="82"/>
      <c r="K27" s="82"/>
      <c r="L27" s="41"/>
      <c r="M27" s="41"/>
      <c r="N27" s="4"/>
      <c r="O27" s="4"/>
      <c r="P27" s="4"/>
      <c r="Q27" s="4"/>
      <c r="R27" s="78"/>
      <c r="T27" s="4"/>
      <c r="U27" s="4"/>
      <c r="V27" s="4"/>
      <c r="W27" s="4"/>
      <c r="AJ27" s="40"/>
      <c r="AK27" s="40"/>
      <c r="AL27" s="40"/>
      <c r="AS27" s="103"/>
      <c r="AT27" s="103"/>
      <c r="AV27" s="40"/>
      <c r="AW27" s="40"/>
      <c r="BB27" s="77"/>
      <c r="BC27" s="77"/>
    </row>
    <row r="28" spans="2:59" x14ac:dyDescent="0.25">
      <c r="B28" s="25" t="s">
        <v>23</v>
      </c>
      <c r="C28" s="149">
        <f>ROUND('Single Trip Standard re Jan25'!C28*SUM(1+1*'ST Standard from 1 Apr25'!$D$1),2)</f>
        <v>28.14</v>
      </c>
      <c r="D28" s="149">
        <f>ROUND('Single Trip Standard re Jan25'!D28*SUM(1+1*'ST Standard from 1 Apr25'!$D$1),2)</f>
        <v>33.520000000000003</v>
      </c>
      <c r="E28" s="41"/>
      <c r="F28" s="41">
        <f t="shared" ref="F28:G33" si="54">C28*SUM(1+$G$1/$X$1)</f>
        <v>33.768000000000001</v>
      </c>
      <c r="G28" s="41">
        <f t="shared" si="54"/>
        <v>40.224000000000004</v>
      </c>
      <c r="H28" s="82"/>
      <c r="I28" s="41">
        <f t="shared" ref="I28:J33" si="55">F28-C28</f>
        <v>5.6280000000000001</v>
      </c>
      <c r="J28" s="41">
        <f t="shared" si="55"/>
        <v>6.7040000000000006</v>
      </c>
      <c r="K28" s="82"/>
      <c r="L28" s="41">
        <f t="shared" ref="L28:M33" si="56">ROUND(C28*(1+$G$1*2),2)*SUM(1+$M$1)</f>
        <v>37.147000000000006</v>
      </c>
      <c r="M28" s="41">
        <f t="shared" si="56"/>
        <v>44.242000000000004</v>
      </c>
      <c r="N28" s="82"/>
      <c r="O28" s="41">
        <f t="shared" ref="O28:P32" si="57">L28-C28</f>
        <v>9.007000000000005</v>
      </c>
      <c r="P28" s="41">
        <f t="shared" si="57"/>
        <v>10.722000000000001</v>
      </c>
      <c r="Q28" s="82"/>
      <c r="R28" s="76">
        <f t="shared" ref="R28:S33" si="58">AJ28/F28</f>
        <v>0.10009476427386875</v>
      </c>
      <c r="S28" s="76">
        <f t="shared" si="58"/>
        <v>9.9940334128878261E-2</v>
      </c>
      <c r="T28" s="82"/>
      <c r="U28" s="41">
        <f t="shared" ref="U28:V33" si="59">SUM(C28/(1-$X$1))</f>
        <v>56.28</v>
      </c>
      <c r="V28" s="41">
        <f t="shared" si="59"/>
        <v>67.040000000000006</v>
      </c>
      <c r="W28" s="82"/>
      <c r="X28" s="41">
        <f t="shared" ref="X28:Y33" si="60">ROUND(C28/(1-$X$1)*1.2,2)</f>
        <v>67.540000000000006</v>
      </c>
      <c r="Y28" s="41">
        <f t="shared" si="60"/>
        <v>80.45</v>
      </c>
      <c r="AA28" s="182">
        <f>ROUNDDOWN(C28/(1-$X$1)*1.2,1)</f>
        <v>67.5</v>
      </c>
      <c r="AB28" s="182">
        <f>ROUNDDOWN(D28/(1-$X$1)*1.2,1)</f>
        <v>80.400000000000006</v>
      </c>
      <c r="AD28" s="40">
        <f t="shared" ref="AD28:AE33" si="61">AA28/1.2</f>
        <v>56.25</v>
      </c>
      <c r="AE28" s="40">
        <f t="shared" si="61"/>
        <v>67.000000000000014</v>
      </c>
      <c r="AG28" s="40">
        <f>X28-AA28</f>
        <v>4.0000000000006253E-2</v>
      </c>
      <c r="AH28" s="40">
        <f>Y28-AB28</f>
        <v>4.9999999999997158E-2</v>
      </c>
      <c r="AJ28" s="40">
        <f t="shared" ref="AJ28:AK33" si="62">ROUND(L28*(1-(1/(1+$AL$1))),2)</f>
        <v>3.38</v>
      </c>
      <c r="AK28" s="40">
        <f t="shared" si="62"/>
        <v>4.0199999999999996</v>
      </c>
      <c r="AL28" s="40"/>
      <c r="AM28" s="180">
        <f>SUM(U28-F28)-AG28</f>
        <v>22.471999999999994</v>
      </c>
      <c r="AN28" s="180">
        <f>SUM(V28-G28)-AH28</f>
        <v>26.766000000000005</v>
      </c>
      <c r="AP28" s="76">
        <f t="shared" ref="AP28:AQ33" si="63">(SUM(F28-C28)/C28)*$X$1</f>
        <v>0.1</v>
      </c>
      <c r="AQ28" s="76">
        <f t="shared" si="63"/>
        <v>0.1</v>
      </c>
      <c r="AS28" s="76">
        <f t="shared" ref="AS28:AT33" si="64">AM28/U28</f>
        <v>0.39928926794598424</v>
      </c>
      <c r="AT28" s="76">
        <f t="shared" si="64"/>
        <v>0.39925417661097856</v>
      </c>
      <c r="AV28" s="76">
        <f t="shared" ref="AV28:AW33" si="65">C28/U28</f>
        <v>0.5</v>
      </c>
      <c r="AW28" s="76">
        <f t="shared" si="65"/>
        <v>0.5</v>
      </c>
      <c r="AX28" s="42"/>
      <c r="AY28" s="42">
        <f t="shared" ref="AY28:AZ33" si="66">I28+AM28</f>
        <v>28.099999999999994</v>
      </c>
      <c r="AZ28" s="42">
        <f t="shared" si="66"/>
        <v>33.470000000000006</v>
      </c>
      <c r="BA28" s="42"/>
      <c r="BB28" s="76">
        <f t="shared" ref="BB28:BC33" si="67">AY28/(C28/$X$1)</f>
        <v>0.49928926794598427</v>
      </c>
      <c r="BC28" s="76">
        <f t="shared" si="67"/>
        <v>0.49925417661097854</v>
      </c>
      <c r="BF28" s="40"/>
      <c r="BG28" s="40"/>
    </row>
    <row r="29" spans="2:59" x14ac:dyDescent="0.25">
      <c r="B29" s="25" t="s">
        <v>24</v>
      </c>
      <c r="C29" s="149">
        <f>ROUND('Single Trip Standard re Jan25'!C29*SUM(1+1*'ST Standard from 1 Apr25'!$D$1),2)</f>
        <v>34.049999999999997</v>
      </c>
      <c r="D29" s="149">
        <f>ROUND('Single Trip Standard re Jan25'!D29*SUM(1+1*'ST Standard from 1 Apr25'!$D$1),2)</f>
        <v>40.32</v>
      </c>
      <c r="E29" s="41"/>
      <c r="F29" s="41">
        <f t="shared" si="54"/>
        <v>40.859999999999992</v>
      </c>
      <c r="G29" s="41">
        <f t="shared" si="54"/>
        <v>48.384</v>
      </c>
      <c r="H29" s="82"/>
      <c r="I29" s="41">
        <f t="shared" si="55"/>
        <v>6.8099999999999952</v>
      </c>
      <c r="J29" s="41">
        <f t="shared" si="55"/>
        <v>8.0640000000000001</v>
      </c>
      <c r="K29" s="82"/>
      <c r="L29" s="41">
        <f t="shared" si="56"/>
        <v>44.946000000000005</v>
      </c>
      <c r="M29" s="41">
        <f t="shared" si="56"/>
        <v>53.218000000000011</v>
      </c>
      <c r="N29" s="82"/>
      <c r="O29" s="41">
        <f t="shared" si="57"/>
        <v>10.896000000000008</v>
      </c>
      <c r="P29" s="41">
        <f t="shared" si="57"/>
        <v>12.89800000000001</v>
      </c>
      <c r="Q29" s="82"/>
      <c r="R29" s="76">
        <f t="shared" si="58"/>
        <v>0.10009789525208029</v>
      </c>
      <c r="S29" s="76">
        <f t="shared" si="58"/>
        <v>0.10003306878306878</v>
      </c>
      <c r="T29" s="82"/>
      <c r="U29" s="41">
        <f t="shared" si="59"/>
        <v>68.099999999999994</v>
      </c>
      <c r="V29" s="41">
        <f t="shared" si="59"/>
        <v>80.64</v>
      </c>
      <c r="W29" s="82"/>
      <c r="X29" s="41">
        <f t="shared" si="60"/>
        <v>81.72</v>
      </c>
      <c r="Y29" s="41">
        <f t="shared" si="60"/>
        <v>96.77</v>
      </c>
      <c r="AA29" s="182">
        <f t="shared" ref="AA29:AB32" si="68">ROUNDDOWN(C29/(1-$X$1)*1.2,1)</f>
        <v>81.7</v>
      </c>
      <c r="AB29" s="182">
        <f t="shared" si="68"/>
        <v>96.7</v>
      </c>
      <c r="AD29" s="40">
        <f t="shared" si="61"/>
        <v>68.083333333333343</v>
      </c>
      <c r="AE29" s="40">
        <f t="shared" si="61"/>
        <v>80.583333333333343</v>
      </c>
      <c r="AG29" s="40">
        <f t="shared" ref="AG29:AH33" si="69">X29-AA29</f>
        <v>1.9999999999996021E-2</v>
      </c>
      <c r="AH29" s="40">
        <f t="shared" si="69"/>
        <v>6.9999999999993179E-2</v>
      </c>
      <c r="AJ29" s="40">
        <f t="shared" si="62"/>
        <v>4.09</v>
      </c>
      <c r="AK29" s="40">
        <f t="shared" si="62"/>
        <v>4.84</v>
      </c>
      <c r="AL29" s="40"/>
      <c r="AM29" s="180">
        <f t="shared" ref="AM29:AM33" si="70">SUM(U29-F29)-AG29</f>
        <v>27.220000000000006</v>
      </c>
      <c r="AN29" s="180">
        <f t="shared" ref="AN29:AN33" si="71">SUM(V29-G29)-AH29</f>
        <v>32.186000000000007</v>
      </c>
      <c r="AP29" s="76">
        <f t="shared" si="63"/>
        <v>9.9999999999999936E-2</v>
      </c>
      <c r="AQ29" s="76">
        <f t="shared" si="63"/>
        <v>0.1</v>
      </c>
      <c r="AS29" s="76">
        <f t="shared" si="64"/>
        <v>0.3997063142437593</v>
      </c>
      <c r="AT29" s="76">
        <f t="shared" si="64"/>
        <v>0.39913194444444455</v>
      </c>
      <c r="AV29" s="76">
        <f t="shared" si="65"/>
        <v>0.5</v>
      </c>
      <c r="AW29" s="76">
        <f t="shared" si="65"/>
        <v>0.5</v>
      </c>
      <c r="AX29" s="42"/>
      <c r="AY29" s="42">
        <f t="shared" si="66"/>
        <v>34.03</v>
      </c>
      <c r="AZ29" s="42">
        <f t="shared" si="66"/>
        <v>40.250000000000007</v>
      </c>
      <c r="BA29" s="42"/>
      <c r="BB29" s="76">
        <f t="shared" si="67"/>
        <v>0.49970631424375922</v>
      </c>
      <c r="BC29" s="76">
        <f t="shared" si="67"/>
        <v>0.49913194444444453</v>
      </c>
      <c r="BF29" s="40"/>
      <c r="BG29" s="40"/>
    </row>
    <row r="30" spans="2:59" x14ac:dyDescent="0.25">
      <c r="B30" s="25" t="s">
        <v>25</v>
      </c>
      <c r="C30" s="149">
        <f>ROUND('Single Trip Standard re Jan25'!C30*SUM(1+1*'ST Standard from 1 Apr25'!$D$1),2)</f>
        <v>42.02</v>
      </c>
      <c r="D30" s="149">
        <f>ROUND('Single Trip Standard re Jan25'!D30*SUM(1+1*'ST Standard from 1 Apr25'!$D$1),2)</f>
        <v>46.7</v>
      </c>
      <c r="E30" s="41"/>
      <c r="F30" s="41">
        <f t="shared" si="54"/>
        <v>50.423999999999999</v>
      </c>
      <c r="G30" s="41">
        <f t="shared" si="54"/>
        <v>56.04</v>
      </c>
      <c r="H30" s="82"/>
      <c r="I30" s="41">
        <f t="shared" si="55"/>
        <v>8.4039999999999964</v>
      </c>
      <c r="J30" s="41">
        <f t="shared" si="55"/>
        <v>9.3399999999999963</v>
      </c>
      <c r="K30" s="82"/>
      <c r="L30" s="41">
        <f t="shared" si="56"/>
        <v>55.462000000000003</v>
      </c>
      <c r="M30" s="41">
        <f t="shared" si="56"/>
        <v>61.644000000000005</v>
      </c>
      <c r="N30" s="82"/>
      <c r="O30" s="41">
        <f t="shared" si="57"/>
        <v>13.442</v>
      </c>
      <c r="P30" s="41">
        <f t="shared" si="57"/>
        <v>14.944000000000003</v>
      </c>
      <c r="Q30" s="82"/>
      <c r="R30" s="76">
        <f t="shared" si="58"/>
        <v>9.9952403617325089E-2</v>
      </c>
      <c r="S30" s="76">
        <f t="shared" si="58"/>
        <v>9.9928622412562451E-2</v>
      </c>
      <c r="T30" s="82"/>
      <c r="U30" s="41">
        <f t="shared" si="59"/>
        <v>84.04</v>
      </c>
      <c r="V30" s="41">
        <f t="shared" si="59"/>
        <v>93.4</v>
      </c>
      <c r="W30" s="82"/>
      <c r="X30" s="41">
        <f t="shared" si="60"/>
        <v>100.85</v>
      </c>
      <c r="Y30" s="41">
        <f t="shared" si="60"/>
        <v>112.08</v>
      </c>
      <c r="AA30" s="182">
        <f t="shared" si="68"/>
        <v>100.8</v>
      </c>
      <c r="AB30" s="182">
        <f t="shared" si="68"/>
        <v>112</v>
      </c>
      <c r="AD30" s="40">
        <f t="shared" si="61"/>
        <v>84</v>
      </c>
      <c r="AE30" s="40">
        <f t="shared" si="61"/>
        <v>93.333333333333343</v>
      </c>
      <c r="AG30" s="40">
        <f t="shared" si="69"/>
        <v>4.9999999999997158E-2</v>
      </c>
      <c r="AH30" s="40">
        <f t="shared" si="69"/>
        <v>7.9999999999998295E-2</v>
      </c>
      <c r="AJ30" s="40">
        <f t="shared" si="62"/>
        <v>5.04</v>
      </c>
      <c r="AK30" s="40">
        <f t="shared" si="62"/>
        <v>5.6</v>
      </c>
      <c r="AL30" s="40"/>
      <c r="AM30" s="180">
        <f t="shared" si="70"/>
        <v>33.56600000000001</v>
      </c>
      <c r="AN30" s="180">
        <f t="shared" si="71"/>
        <v>37.280000000000008</v>
      </c>
      <c r="AP30" s="76">
        <f t="shared" si="63"/>
        <v>9.999999999999995E-2</v>
      </c>
      <c r="AQ30" s="76">
        <f t="shared" si="63"/>
        <v>9.999999999999995E-2</v>
      </c>
      <c r="AS30" s="76">
        <f t="shared" si="64"/>
        <v>0.39940504521656361</v>
      </c>
      <c r="AT30" s="76">
        <f t="shared" si="64"/>
        <v>0.39914346895074954</v>
      </c>
      <c r="AV30" s="76">
        <f t="shared" si="65"/>
        <v>0.5</v>
      </c>
      <c r="AW30" s="76">
        <f t="shared" si="65"/>
        <v>0.5</v>
      </c>
      <c r="AX30" s="42"/>
      <c r="AY30" s="42">
        <f t="shared" si="66"/>
        <v>41.970000000000006</v>
      </c>
      <c r="AZ30" s="42">
        <f t="shared" si="66"/>
        <v>46.620000000000005</v>
      </c>
      <c r="BA30" s="42"/>
      <c r="BB30" s="76">
        <f t="shared" si="67"/>
        <v>0.49940504521656359</v>
      </c>
      <c r="BC30" s="76">
        <f t="shared" si="67"/>
        <v>0.49914346895074946</v>
      </c>
      <c r="BF30" s="40"/>
      <c r="BG30" s="40"/>
    </row>
    <row r="31" spans="2:59" x14ac:dyDescent="0.25">
      <c r="B31" s="25" t="s">
        <v>33</v>
      </c>
      <c r="C31" s="149">
        <f>ROUND('Single Trip Standard re Jan25'!C31*SUM(1+1*'ST Standard from 1 Apr25'!$D$1),2)</f>
        <v>52.66</v>
      </c>
      <c r="D31" s="149">
        <f>ROUND('Single Trip Standard re Jan25'!D31*SUM(1+1*'ST Standard from 1 Apr25'!$D$1),2)</f>
        <v>60.54</v>
      </c>
      <c r="E31" s="41"/>
      <c r="F31" s="41">
        <f t="shared" si="54"/>
        <v>63.191999999999993</v>
      </c>
      <c r="G31" s="41">
        <f t="shared" si="54"/>
        <v>72.647999999999996</v>
      </c>
      <c r="H31" s="82"/>
      <c r="I31" s="41">
        <f t="shared" si="55"/>
        <v>10.531999999999996</v>
      </c>
      <c r="J31" s="41">
        <f t="shared" si="55"/>
        <v>12.107999999999997</v>
      </c>
      <c r="K31" s="82"/>
      <c r="L31" s="41">
        <f t="shared" si="56"/>
        <v>69.509</v>
      </c>
      <c r="M31" s="41">
        <f t="shared" si="56"/>
        <v>79.915000000000006</v>
      </c>
      <c r="N31" s="82"/>
      <c r="O31" s="41">
        <f t="shared" si="57"/>
        <v>16.849000000000004</v>
      </c>
      <c r="P31" s="41">
        <f t="shared" si="57"/>
        <v>19.375000000000007</v>
      </c>
      <c r="Q31" s="82"/>
      <c r="R31" s="76">
        <f t="shared" si="58"/>
        <v>0.10001265983035829</v>
      </c>
      <c r="S31" s="76">
        <f t="shared" si="58"/>
        <v>0.10007157802004185</v>
      </c>
      <c r="T31" s="82"/>
      <c r="U31" s="41">
        <f t="shared" si="59"/>
        <v>105.32</v>
      </c>
      <c r="V31" s="41">
        <f t="shared" si="59"/>
        <v>121.08</v>
      </c>
      <c r="W31" s="82"/>
      <c r="X31" s="41">
        <f t="shared" si="60"/>
        <v>126.38</v>
      </c>
      <c r="Y31" s="41">
        <f t="shared" si="60"/>
        <v>145.30000000000001</v>
      </c>
      <c r="AA31" s="182">
        <f t="shared" si="68"/>
        <v>126.3</v>
      </c>
      <c r="AB31" s="182">
        <f t="shared" si="68"/>
        <v>145.19999999999999</v>
      </c>
      <c r="AD31" s="40">
        <f t="shared" si="61"/>
        <v>105.25</v>
      </c>
      <c r="AE31" s="40">
        <f t="shared" si="61"/>
        <v>121</v>
      </c>
      <c r="AG31" s="40">
        <f t="shared" si="69"/>
        <v>7.9999999999998295E-2</v>
      </c>
      <c r="AH31" s="40">
        <f t="shared" si="69"/>
        <v>0.10000000000002274</v>
      </c>
      <c r="AJ31" s="40">
        <f t="shared" si="62"/>
        <v>6.32</v>
      </c>
      <c r="AK31" s="40">
        <f t="shared" si="62"/>
        <v>7.27</v>
      </c>
      <c r="AL31" s="40"/>
      <c r="AM31" s="180">
        <f t="shared" si="70"/>
        <v>42.048000000000002</v>
      </c>
      <c r="AN31" s="180">
        <f t="shared" si="71"/>
        <v>48.331999999999979</v>
      </c>
      <c r="AP31" s="76">
        <f t="shared" si="63"/>
        <v>9.9999999999999978E-2</v>
      </c>
      <c r="AQ31" s="76">
        <f t="shared" si="63"/>
        <v>9.9999999999999978E-2</v>
      </c>
      <c r="AS31" s="76">
        <f t="shared" si="64"/>
        <v>0.39924041017850365</v>
      </c>
      <c r="AT31" s="76">
        <f t="shared" si="64"/>
        <v>0.39917409976874779</v>
      </c>
      <c r="AV31" s="76">
        <f t="shared" si="65"/>
        <v>0.5</v>
      </c>
      <c r="AW31" s="76">
        <f t="shared" si="65"/>
        <v>0.5</v>
      </c>
      <c r="AX31" s="42"/>
      <c r="AY31" s="42">
        <f t="shared" si="66"/>
        <v>52.58</v>
      </c>
      <c r="AZ31" s="42">
        <f t="shared" si="66"/>
        <v>60.439999999999976</v>
      </c>
      <c r="BA31" s="42"/>
      <c r="BB31" s="76">
        <f t="shared" si="67"/>
        <v>0.49924041017850362</v>
      </c>
      <c r="BC31" s="76">
        <f t="shared" si="67"/>
        <v>0.49917409976874777</v>
      </c>
      <c r="BF31" s="40"/>
      <c r="BG31" s="40"/>
    </row>
    <row r="32" spans="2:59" x14ac:dyDescent="0.25">
      <c r="B32" s="25" t="s">
        <v>27</v>
      </c>
      <c r="C32" s="149">
        <f>ROUND('Single Trip Standard re Jan25'!C32*SUM(1+1*'ST Standard from 1 Apr25'!$D$1),2)</f>
        <v>58.08</v>
      </c>
      <c r="D32" s="149">
        <f>ROUND('Single Trip Standard re Jan25'!D32*SUM(1+1*'ST Standard from 1 Apr25'!$D$1),2)</f>
        <v>65.53</v>
      </c>
      <c r="E32" s="41"/>
      <c r="F32" s="41">
        <f t="shared" si="54"/>
        <v>69.695999999999998</v>
      </c>
      <c r="G32" s="41">
        <f t="shared" si="54"/>
        <v>78.635999999999996</v>
      </c>
      <c r="H32" s="82"/>
      <c r="I32" s="41">
        <f t="shared" si="55"/>
        <v>11.616</v>
      </c>
      <c r="J32" s="41">
        <f t="shared" si="55"/>
        <v>13.105999999999995</v>
      </c>
      <c r="K32" s="82"/>
      <c r="L32" s="41">
        <f t="shared" si="56"/>
        <v>76.670000000000016</v>
      </c>
      <c r="M32" s="41">
        <f t="shared" si="56"/>
        <v>86.504000000000005</v>
      </c>
      <c r="N32" s="82"/>
      <c r="O32" s="41">
        <f t="shared" si="57"/>
        <v>18.590000000000018</v>
      </c>
      <c r="P32" s="41">
        <f t="shared" si="57"/>
        <v>20.974000000000004</v>
      </c>
      <c r="Q32" s="82"/>
      <c r="R32" s="76">
        <f t="shared" si="58"/>
        <v>0.10000573921028466</v>
      </c>
      <c r="S32" s="76">
        <f t="shared" si="58"/>
        <v>9.9954219441477199E-2</v>
      </c>
      <c r="T32" s="82"/>
      <c r="U32" s="41">
        <f t="shared" si="59"/>
        <v>116.16</v>
      </c>
      <c r="V32" s="41">
        <f t="shared" si="59"/>
        <v>131.06</v>
      </c>
      <c r="W32" s="82"/>
      <c r="X32" s="41">
        <f t="shared" si="60"/>
        <v>139.38999999999999</v>
      </c>
      <c r="Y32" s="41">
        <f t="shared" si="60"/>
        <v>157.27000000000001</v>
      </c>
      <c r="AA32" s="182">
        <f t="shared" si="68"/>
        <v>139.30000000000001</v>
      </c>
      <c r="AB32" s="182">
        <f t="shared" si="68"/>
        <v>157.19999999999999</v>
      </c>
      <c r="AD32" s="40">
        <f t="shared" si="61"/>
        <v>116.08333333333334</v>
      </c>
      <c r="AE32" s="40">
        <f t="shared" si="61"/>
        <v>131</v>
      </c>
      <c r="AG32" s="40">
        <f t="shared" si="69"/>
        <v>8.9999999999974989E-2</v>
      </c>
      <c r="AH32" s="40">
        <f t="shared" si="69"/>
        <v>7.00000000000216E-2</v>
      </c>
      <c r="AJ32" s="40">
        <f t="shared" si="62"/>
        <v>6.97</v>
      </c>
      <c r="AK32" s="40">
        <f t="shared" si="62"/>
        <v>7.86</v>
      </c>
      <c r="AL32" s="40"/>
      <c r="AM32" s="180">
        <f t="shared" si="70"/>
        <v>46.374000000000024</v>
      </c>
      <c r="AN32" s="180">
        <f t="shared" si="71"/>
        <v>52.353999999999985</v>
      </c>
      <c r="AP32" s="76">
        <f t="shared" si="63"/>
        <v>0.1</v>
      </c>
      <c r="AQ32" s="76">
        <f t="shared" si="63"/>
        <v>9.999999999999995E-2</v>
      </c>
      <c r="AS32" s="76">
        <f t="shared" si="64"/>
        <v>0.39922520661157046</v>
      </c>
      <c r="AT32" s="76">
        <f t="shared" si="64"/>
        <v>0.39946589348390038</v>
      </c>
      <c r="AV32" s="76">
        <f t="shared" si="65"/>
        <v>0.5</v>
      </c>
      <c r="AW32" s="76">
        <f t="shared" si="65"/>
        <v>0.5</v>
      </c>
      <c r="AX32" s="42"/>
      <c r="AY32" s="42">
        <f t="shared" si="66"/>
        <v>57.990000000000023</v>
      </c>
      <c r="AZ32" s="42">
        <f t="shared" si="66"/>
        <v>65.45999999999998</v>
      </c>
      <c r="BA32" s="42"/>
      <c r="BB32" s="76">
        <f t="shared" si="67"/>
        <v>0.49922520661157044</v>
      </c>
      <c r="BC32" s="76">
        <f t="shared" si="67"/>
        <v>0.49946589348390036</v>
      </c>
      <c r="BF32" s="40"/>
      <c r="BG32" s="40"/>
    </row>
    <row r="33" spans="1:59" x14ac:dyDescent="0.25">
      <c r="B33" s="25" t="s">
        <v>29</v>
      </c>
      <c r="C33" s="149">
        <f>ROUND('Single Trip Standard re Jan25'!C33*SUM(1+1*'ST Standard from 1 Apr25'!$D$1),2)</f>
        <v>9.51</v>
      </c>
      <c r="D33" s="149">
        <f>ROUND('Single Trip Standard re Jan25'!D33*SUM(1+1*'ST Standard from 1 Apr25'!$D$1),2)</f>
        <v>10.3</v>
      </c>
      <c r="E33" s="41"/>
      <c r="F33" s="41">
        <f t="shared" si="54"/>
        <v>11.411999999999999</v>
      </c>
      <c r="G33" s="41">
        <f t="shared" si="54"/>
        <v>12.360000000000001</v>
      </c>
      <c r="H33" s="82"/>
      <c r="I33" s="41">
        <f t="shared" si="55"/>
        <v>1.9019999999999992</v>
      </c>
      <c r="J33" s="41">
        <f t="shared" si="55"/>
        <v>2.0600000000000005</v>
      </c>
      <c r="K33" s="82"/>
      <c r="L33" s="41">
        <f t="shared" si="56"/>
        <v>12.551000000000002</v>
      </c>
      <c r="M33" s="41">
        <f t="shared" si="56"/>
        <v>13.596</v>
      </c>
      <c r="N33" s="82"/>
      <c r="O33" s="41">
        <f>L33-C33</f>
        <v>3.0410000000000021</v>
      </c>
      <c r="P33" s="41">
        <f>M33-D33</f>
        <v>3.2959999999999994</v>
      </c>
      <c r="Q33" s="82"/>
      <c r="R33" s="76">
        <f t="shared" si="58"/>
        <v>9.9894847528916933E-2</v>
      </c>
      <c r="S33" s="76">
        <f t="shared" si="58"/>
        <v>0.10032362459546924</v>
      </c>
      <c r="T33" s="82"/>
      <c r="U33" s="41">
        <f t="shared" si="59"/>
        <v>19.02</v>
      </c>
      <c r="V33" s="41">
        <f t="shared" si="59"/>
        <v>20.6</v>
      </c>
      <c r="W33" s="82"/>
      <c r="X33" s="41">
        <f t="shared" si="60"/>
        <v>22.82</v>
      </c>
      <c r="Y33" s="41">
        <f t="shared" si="60"/>
        <v>24.72</v>
      </c>
      <c r="AA33" s="182">
        <f>ROUNDDOWN(C33/(1-$X$1)*1.2,1)</f>
        <v>22.8</v>
      </c>
      <c r="AB33" s="182">
        <f>ROUNDDOWN(D33/(1-$X$1)*1.2,1)</f>
        <v>24.7</v>
      </c>
      <c r="AD33" s="40">
        <f t="shared" si="61"/>
        <v>19</v>
      </c>
      <c r="AE33" s="40">
        <f t="shared" si="61"/>
        <v>20.583333333333332</v>
      </c>
      <c r="AG33" s="40">
        <f t="shared" si="69"/>
        <v>1.9999999999999574E-2</v>
      </c>
      <c r="AH33" s="40">
        <f t="shared" si="69"/>
        <v>1.9999999999999574E-2</v>
      </c>
      <c r="AJ33" s="40">
        <f t="shared" si="62"/>
        <v>1.1399999999999999</v>
      </c>
      <c r="AK33" s="40">
        <f t="shared" si="62"/>
        <v>1.24</v>
      </c>
      <c r="AL33" s="40"/>
      <c r="AM33" s="180">
        <f t="shared" si="70"/>
        <v>7.588000000000001</v>
      </c>
      <c r="AN33" s="180">
        <f t="shared" si="71"/>
        <v>8.2200000000000006</v>
      </c>
      <c r="AP33" s="76">
        <f t="shared" si="63"/>
        <v>9.9999999999999964E-2</v>
      </c>
      <c r="AQ33" s="76">
        <f t="shared" si="63"/>
        <v>0.10000000000000002</v>
      </c>
      <c r="AS33" s="76">
        <f t="shared" si="64"/>
        <v>0.39894847528916938</v>
      </c>
      <c r="AT33" s="76">
        <f t="shared" si="64"/>
        <v>0.39902912621359221</v>
      </c>
      <c r="AV33" s="76">
        <f t="shared" si="65"/>
        <v>0.5</v>
      </c>
      <c r="AW33" s="76">
        <f t="shared" si="65"/>
        <v>0.5</v>
      </c>
      <c r="AX33" s="42"/>
      <c r="AY33" s="42">
        <f t="shared" si="66"/>
        <v>9.49</v>
      </c>
      <c r="AZ33" s="42">
        <f t="shared" si="66"/>
        <v>10.280000000000001</v>
      </c>
      <c r="BA33" s="42"/>
      <c r="BB33" s="76">
        <f t="shared" si="67"/>
        <v>0.4989484752891693</v>
      </c>
      <c r="BC33" s="76">
        <f t="shared" si="67"/>
        <v>0.49902912621359224</v>
      </c>
      <c r="BF33" s="40"/>
      <c r="BG33" s="40"/>
    </row>
    <row r="34" spans="1:59" x14ac:dyDescent="0.25">
      <c r="C34" s="39"/>
      <c r="D34" s="39"/>
      <c r="E34" s="39"/>
      <c r="F34" s="39"/>
      <c r="L34" s="41"/>
      <c r="M34" s="39"/>
      <c r="U34" s="41"/>
      <c r="V34" s="41"/>
      <c r="W34" s="39"/>
      <c r="AK34" s="76"/>
      <c r="AL34" s="76"/>
      <c r="AM34" s="76"/>
    </row>
    <row r="35" spans="1:59" x14ac:dyDescent="0.25">
      <c r="A35" s="4" t="s">
        <v>34</v>
      </c>
      <c r="C35" s="40"/>
      <c r="D35" s="40"/>
      <c r="E35" s="40"/>
      <c r="F35" s="40"/>
      <c r="L35" s="40"/>
      <c r="M35" s="40"/>
      <c r="AK35" s="76"/>
      <c r="AL35" s="76"/>
      <c r="AM35" s="76"/>
    </row>
    <row r="36" spans="1:59" x14ac:dyDescent="0.25">
      <c r="C36" s="40"/>
      <c r="D36" s="40"/>
      <c r="E36" s="40"/>
      <c r="F36" s="40"/>
      <c r="M36" s="40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K36" s="76"/>
      <c r="AL36" s="76"/>
      <c r="AM36" s="76"/>
    </row>
    <row r="37" spans="1:59" x14ac:dyDescent="0.25">
      <c r="A37" s="25" t="s">
        <v>35</v>
      </c>
      <c r="B37" s="1" t="s">
        <v>36</v>
      </c>
      <c r="D37" s="40"/>
      <c r="E37" s="40"/>
      <c r="F37" s="40"/>
      <c r="G37" s="40"/>
      <c r="H37" s="40"/>
      <c r="I37" s="40"/>
      <c r="J37" s="40"/>
      <c r="K37" s="40"/>
      <c r="N37" s="40"/>
      <c r="O37" s="40"/>
      <c r="P37" s="40"/>
      <c r="Q37" s="40"/>
      <c r="R37" s="40"/>
      <c r="S37" s="40"/>
      <c r="T37" s="40"/>
      <c r="AK37" s="76"/>
      <c r="AL37" s="76"/>
      <c r="AM37" s="76"/>
    </row>
    <row r="38" spans="1:59" x14ac:dyDescent="0.25">
      <c r="A38" s="25" t="s">
        <v>37</v>
      </c>
      <c r="B38" s="1" t="s">
        <v>38</v>
      </c>
      <c r="D38" s="40"/>
      <c r="E38" s="40"/>
      <c r="F38" s="40"/>
      <c r="N38" s="40"/>
      <c r="O38" s="40"/>
      <c r="P38" s="40"/>
      <c r="Q38" s="40"/>
      <c r="R38" s="40"/>
      <c r="S38" s="40"/>
      <c r="T38" s="40"/>
      <c r="AK38" s="76"/>
      <c r="AL38" s="76"/>
      <c r="AM38" s="76"/>
    </row>
    <row r="39" spans="1:59" x14ac:dyDescent="0.25">
      <c r="A39" s="25" t="s">
        <v>39</v>
      </c>
      <c r="B39" s="1" t="s">
        <v>40</v>
      </c>
      <c r="D39" s="40"/>
      <c r="E39" s="40"/>
      <c r="F39" s="40"/>
      <c r="AK39" s="76"/>
      <c r="AL39" s="76"/>
      <c r="AM39" s="76"/>
    </row>
    <row r="40" spans="1:59" x14ac:dyDescent="0.25">
      <c r="A40" s="25" t="s">
        <v>41</v>
      </c>
      <c r="B40" s="1" t="s">
        <v>42</v>
      </c>
      <c r="D40" s="40"/>
      <c r="E40" s="40"/>
      <c r="F40" s="40"/>
      <c r="AK40" s="76"/>
      <c r="AL40" s="76"/>
      <c r="AM40" s="76"/>
    </row>
    <row r="41" spans="1:59" x14ac:dyDescent="0.25">
      <c r="A41" s="25" t="s">
        <v>43</v>
      </c>
      <c r="B41" s="1" t="s">
        <v>44</v>
      </c>
      <c r="D41" s="40"/>
      <c r="E41" s="40"/>
      <c r="F41" s="40"/>
      <c r="AK41" s="76"/>
      <c r="AL41" s="76"/>
      <c r="AM41" s="76"/>
    </row>
    <row r="42" spans="1:59" x14ac:dyDescent="0.25">
      <c r="A42" s="25" t="s">
        <v>45</v>
      </c>
      <c r="B42" s="1" t="s">
        <v>46</v>
      </c>
      <c r="D42" s="40"/>
      <c r="E42" s="40"/>
      <c r="F42" s="40"/>
      <c r="AK42" s="76"/>
      <c r="AL42" s="76"/>
      <c r="AM42" s="76"/>
    </row>
    <row r="43" spans="1:59" x14ac:dyDescent="0.25">
      <c r="A43" s="25"/>
      <c r="AK43" s="76"/>
      <c r="AL43" s="76"/>
      <c r="AM43" s="76"/>
    </row>
    <row r="44" spans="1:59" x14ac:dyDescent="0.25">
      <c r="A44" s="118" t="s">
        <v>47</v>
      </c>
      <c r="B44" s="1" t="s">
        <v>48</v>
      </c>
      <c r="G44" s="40"/>
      <c r="H44" s="40"/>
      <c r="I44" s="40"/>
      <c r="J44" s="40"/>
      <c r="K44" s="40"/>
      <c r="N44" s="40"/>
      <c r="O44" s="40"/>
      <c r="P44" s="40"/>
      <c r="Q44" s="40"/>
      <c r="R44" s="40"/>
      <c r="S44" s="40"/>
      <c r="T44" s="40"/>
      <c r="AK44" s="76"/>
      <c r="AL44" s="76"/>
      <c r="AM44" s="76"/>
    </row>
    <row r="45" spans="1:59" x14ac:dyDescent="0.25">
      <c r="A45" s="118" t="s">
        <v>49</v>
      </c>
      <c r="B45" s="52" t="s">
        <v>50</v>
      </c>
      <c r="AK45" s="76"/>
      <c r="AL45" s="76"/>
      <c r="AM45" s="76"/>
    </row>
    <row r="46" spans="1:59" x14ac:dyDescent="0.25">
      <c r="A46" s="25"/>
      <c r="AK46" s="76"/>
      <c r="AL46" s="76"/>
      <c r="AM46" s="76"/>
    </row>
    <row r="47" spans="1:59" x14ac:dyDescent="0.25">
      <c r="A47" s="164" t="s">
        <v>51</v>
      </c>
      <c r="B47" s="165" t="s">
        <v>52</v>
      </c>
      <c r="C47" s="166"/>
      <c r="D47" s="166"/>
      <c r="E47" s="166"/>
      <c r="F47" s="166"/>
      <c r="G47" s="166"/>
      <c r="H47" s="166"/>
      <c r="AK47" s="76"/>
      <c r="AL47" s="76"/>
      <c r="AM47" s="76"/>
    </row>
    <row r="48" spans="1:59" ht="47.25" customHeight="1" x14ac:dyDescent="0.25">
      <c r="A48" s="198" t="s">
        <v>53</v>
      </c>
      <c r="B48" s="216" t="s">
        <v>54</v>
      </c>
      <c r="C48" s="216"/>
      <c r="D48" s="216"/>
      <c r="E48" s="216"/>
      <c r="F48" s="216"/>
      <c r="G48" s="216"/>
      <c r="H48" s="216"/>
      <c r="I48" s="216"/>
      <c r="J48" s="216"/>
      <c r="K48" s="216"/>
      <c r="L48" s="216"/>
      <c r="M48" s="216"/>
      <c r="AK48" s="76"/>
      <c r="AL48" s="76"/>
      <c r="AM48" s="76"/>
    </row>
    <row r="49" spans="1:66" x14ac:dyDescent="0.25">
      <c r="A49" s="25"/>
    </row>
    <row r="50" spans="1:66" x14ac:dyDescent="0.25">
      <c r="A50" s="25" t="s">
        <v>55</v>
      </c>
      <c r="B50" s="1" t="s">
        <v>56</v>
      </c>
    </row>
    <row r="51" spans="1:66" x14ac:dyDescent="0.25">
      <c r="A51" s="25"/>
      <c r="B51" s="1" t="s">
        <v>57</v>
      </c>
    </row>
    <row r="52" spans="1:66" x14ac:dyDescent="0.25">
      <c r="A52" s="25"/>
      <c r="B52" s="1" t="s">
        <v>58</v>
      </c>
    </row>
    <row r="53" spans="1:66" x14ac:dyDescent="0.25">
      <c r="A53" s="25"/>
    </row>
    <row r="54" spans="1:66" s="80" customFormat="1" x14ac:dyDescent="0.25">
      <c r="A54" s="79" t="s">
        <v>59</v>
      </c>
      <c r="B54" s="80" t="s">
        <v>60</v>
      </c>
    </row>
    <row r="55" spans="1:66" x14ac:dyDescent="0.25">
      <c r="A55" s="25"/>
    </row>
    <row r="56" spans="1:66" x14ac:dyDescent="0.25">
      <c r="A56" s="25" t="s">
        <v>61</v>
      </c>
      <c r="B56" s="1" t="s">
        <v>62</v>
      </c>
    </row>
    <row r="57" spans="1:66" x14ac:dyDescent="0.25">
      <c r="A57" s="25"/>
    </row>
    <row r="58" spans="1:66" ht="45" customHeight="1" x14ac:dyDescent="0.25">
      <c r="B58" s="39"/>
      <c r="C58" s="217" t="s">
        <v>2</v>
      </c>
      <c r="D58" s="217"/>
      <c r="E58" s="90"/>
      <c r="F58" s="218" t="s">
        <v>3</v>
      </c>
      <c r="G58" s="218"/>
      <c r="H58" s="52"/>
      <c r="I58" s="212" t="s">
        <v>4</v>
      </c>
      <c r="J58" s="212"/>
      <c r="K58" s="52"/>
      <c r="L58" s="219" t="s">
        <v>5</v>
      </c>
      <c r="M58" s="219"/>
      <c r="N58" s="52"/>
      <c r="O58" s="219" t="s">
        <v>6</v>
      </c>
      <c r="P58" s="219"/>
      <c r="Q58" s="52"/>
      <c r="R58" s="219" t="s">
        <v>7</v>
      </c>
      <c r="S58" s="219"/>
      <c r="T58" s="52"/>
      <c r="U58" s="214" t="s">
        <v>8</v>
      </c>
      <c r="V58" s="214"/>
      <c r="W58" s="52"/>
      <c r="X58" s="211" t="s">
        <v>9</v>
      </c>
      <c r="Y58" s="211"/>
      <c r="AA58" s="215" t="s">
        <v>10</v>
      </c>
      <c r="AB58" s="215"/>
      <c r="AD58" s="211" t="s">
        <v>11</v>
      </c>
      <c r="AE58" s="211"/>
      <c r="AG58" s="211" t="s">
        <v>12</v>
      </c>
      <c r="AH58" s="211"/>
      <c r="AJ58" s="211" t="s">
        <v>13</v>
      </c>
      <c r="AK58" s="211"/>
      <c r="AM58" s="211" t="s">
        <v>14</v>
      </c>
      <c r="AN58" s="211"/>
      <c r="AP58" s="212" t="s">
        <v>15</v>
      </c>
      <c r="AQ58" s="212"/>
      <c r="AS58" s="211" t="s">
        <v>16</v>
      </c>
      <c r="AT58" s="211"/>
      <c r="AV58" s="213" t="s">
        <v>17</v>
      </c>
      <c r="AW58" s="213"/>
      <c r="AY58" s="213" t="s">
        <v>18</v>
      </c>
      <c r="AZ58" s="213"/>
      <c r="BB58" s="213" t="s">
        <v>19</v>
      </c>
      <c r="BC58" s="213"/>
    </row>
    <row r="59" spans="1:66" s="34" customFormat="1" x14ac:dyDescent="0.25">
      <c r="C59" s="54" t="s">
        <v>20</v>
      </c>
      <c r="D59" s="54" t="s">
        <v>21</v>
      </c>
      <c r="E59" s="54"/>
      <c r="F59" s="34" t="s">
        <v>20</v>
      </c>
      <c r="G59" s="54" t="s">
        <v>21</v>
      </c>
      <c r="I59" s="34" t="s">
        <v>20</v>
      </c>
      <c r="J59" s="54" t="s">
        <v>21</v>
      </c>
      <c r="L59" s="34" t="s">
        <v>20</v>
      </c>
      <c r="M59" s="54" t="s">
        <v>21</v>
      </c>
      <c r="O59" s="34" t="s">
        <v>20</v>
      </c>
      <c r="P59" s="54" t="s">
        <v>21</v>
      </c>
      <c r="R59" s="34" t="s">
        <v>20</v>
      </c>
      <c r="S59" s="54" t="s">
        <v>21</v>
      </c>
      <c r="U59" s="34" t="s">
        <v>20</v>
      </c>
      <c r="V59" s="34" t="s">
        <v>21</v>
      </c>
      <c r="X59" s="34" t="s">
        <v>20</v>
      </c>
      <c r="Y59" s="34" t="s">
        <v>21</v>
      </c>
      <c r="AA59" s="34" t="s">
        <v>20</v>
      </c>
      <c r="AB59" s="34" t="s">
        <v>21</v>
      </c>
      <c r="AD59" s="34" t="s">
        <v>20</v>
      </c>
      <c r="AE59" s="34" t="s">
        <v>21</v>
      </c>
      <c r="AG59" s="34" t="s">
        <v>20</v>
      </c>
      <c r="AH59" s="34" t="s">
        <v>21</v>
      </c>
      <c r="AJ59" s="34" t="s">
        <v>20</v>
      </c>
      <c r="AK59" s="34" t="s">
        <v>21</v>
      </c>
      <c r="AM59" s="34" t="s">
        <v>20</v>
      </c>
      <c r="AN59" s="34" t="s">
        <v>21</v>
      </c>
      <c r="AP59" s="34" t="s">
        <v>20</v>
      </c>
      <c r="AQ59" s="34" t="s">
        <v>21</v>
      </c>
      <c r="AS59" s="34" t="s">
        <v>20</v>
      </c>
      <c r="AT59" s="34" t="s">
        <v>21</v>
      </c>
      <c r="AV59" s="34" t="s">
        <v>20</v>
      </c>
      <c r="AW59" s="54" t="s">
        <v>21</v>
      </c>
      <c r="AY59" s="34" t="s">
        <v>20</v>
      </c>
      <c r="AZ59" s="54" t="s">
        <v>21</v>
      </c>
      <c r="BB59" s="34" t="s">
        <v>20</v>
      </c>
      <c r="BC59" s="54" t="s">
        <v>21</v>
      </c>
      <c r="BK59" s="1"/>
      <c r="BL59" s="1"/>
      <c r="BM59" s="1"/>
      <c r="BN59" s="1"/>
    </row>
    <row r="60" spans="1:66" x14ac:dyDescent="0.25">
      <c r="A60" s="25"/>
      <c r="C60" s="39"/>
      <c r="D60" s="39"/>
      <c r="E60" s="39"/>
      <c r="F60" s="39"/>
      <c r="G60" s="39"/>
      <c r="H60" s="39"/>
      <c r="I60" s="39"/>
      <c r="J60" s="39"/>
      <c r="K60" s="39"/>
      <c r="L60" s="39"/>
    </row>
    <row r="61" spans="1:66" s="52" customFormat="1" ht="60" customHeight="1" x14ac:dyDescent="0.25">
      <c r="A61" s="158" t="s">
        <v>63</v>
      </c>
      <c r="B61" s="157"/>
      <c r="C61" s="168">
        <v>13.86</v>
      </c>
      <c r="D61" s="168">
        <v>13.86</v>
      </c>
      <c r="E61" s="74"/>
      <c r="F61" s="74">
        <f t="shared" ref="F61:G61" si="72">C61*SUM(1+$G$1/$X$1)</f>
        <v>16.631999999999998</v>
      </c>
      <c r="G61" s="74">
        <f t="shared" si="72"/>
        <v>16.631999999999998</v>
      </c>
      <c r="H61" s="74"/>
      <c r="I61" s="74">
        <f t="shared" ref="I61:J61" si="73">F61-C61</f>
        <v>2.7719999999999985</v>
      </c>
      <c r="J61" s="74">
        <f t="shared" si="73"/>
        <v>2.7719999999999985</v>
      </c>
      <c r="K61" s="51"/>
      <c r="L61" s="160">
        <f t="shared" ref="L61:M61" si="74">ROUND(C61*(1+$G$1*2),2)*SUM(1+$M$1)</f>
        <v>18.292999999999999</v>
      </c>
      <c r="M61" s="160">
        <f t="shared" si="74"/>
        <v>18.292999999999999</v>
      </c>
      <c r="O61" s="74">
        <f t="shared" ref="O61:P61" si="75">L61-C61</f>
        <v>4.4329999999999998</v>
      </c>
      <c r="P61" s="74">
        <f t="shared" si="75"/>
        <v>4.4329999999999998</v>
      </c>
      <c r="R61" s="93">
        <f t="shared" ref="R61:S61" si="76">AJ61/F61</f>
        <v>9.9807599807599817E-2</v>
      </c>
      <c r="S61" s="93">
        <f t="shared" si="76"/>
        <v>9.9807599807599817E-2</v>
      </c>
      <c r="U61" s="74">
        <f t="shared" ref="U61:V61" si="77">SUM(C61/(1-$X$1))</f>
        <v>27.72</v>
      </c>
      <c r="V61" s="74">
        <f t="shared" si="77"/>
        <v>27.72</v>
      </c>
      <c r="X61" s="74">
        <f t="shared" ref="X61:Y61" si="78">ROUND(C61/(1-$X$1)*1.2,2)</f>
        <v>33.26</v>
      </c>
      <c r="Y61" s="74">
        <f t="shared" si="78"/>
        <v>33.26</v>
      </c>
      <c r="Z61" s="94"/>
      <c r="AA61" s="183">
        <f t="shared" ref="AA61:AB61" si="79">ROUNDDOWN(C61/(1-$X$1)*1.2,1)</f>
        <v>33.200000000000003</v>
      </c>
      <c r="AB61" s="183">
        <f t="shared" si="79"/>
        <v>33.200000000000003</v>
      </c>
      <c r="AD61" s="94">
        <f t="shared" ref="AD61:AE61" si="80">AA61/1.2</f>
        <v>27.666666666666671</v>
      </c>
      <c r="AE61" s="94">
        <f t="shared" si="80"/>
        <v>27.666666666666671</v>
      </c>
      <c r="AG61" s="94">
        <f t="shared" ref="AG61:AH61" si="81">X61-AA61</f>
        <v>5.9999999999995168E-2</v>
      </c>
      <c r="AH61" s="94">
        <f t="shared" si="81"/>
        <v>5.9999999999995168E-2</v>
      </c>
      <c r="AI61" s="94"/>
      <c r="AJ61" s="94">
        <f t="shared" ref="AJ61:AK61" si="82">ROUND(L61*(1-(1/(1+$AL$1))),2)</f>
        <v>1.66</v>
      </c>
      <c r="AK61" s="94">
        <f t="shared" si="82"/>
        <v>1.66</v>
      </c>
      <c r="AL61" s="94"/>
      <c r="AM61" s="181">
        <f t="shared" ref="AM61" si="83">SUM(U61-F61)-AG61</f>
        <v>11.028000000000006</v>
      </c>
      <c r="AN61" s="181">
        <f t="shared" ref="AN61" si="84">SUM(V61-G61)-AH61</f>
        <v>11.028000000000006</v>
      </c>
      <c r="AP61" s="135">
        <f t="shared" ref="AP61:AQ61" si="85">(SUM(F61-C61)/C61)/2</f>
        <v>9.999999999999995E-2</v>
      </c>
      <c r="AQ61" s="135">
        <f t="shared" si="85"/>
        <v>9.999999999999995E-2</v>
      </c>
      <c r="AS61" s="135">
        <f t="shared" ref="AS61:AT61" si="86">AM61/U61</f>
        <v>0.39783549783549804</v>
      </c>
      <c r="AT61" s="135">
        <f t="shared" si="86"/>
        <v>0.39783549783549804</v>
      </c>
      <c r="AV61" s="93">
        <f t="shared" ref="AV61:AW61" si="87">C61/U61</f>
        <v>0.5</v>
      </c>
      <c r="AW61" s="93">
        <f t="shared" si="87"/>
        <v>0.5</v>
      </c>
      <c r="AY61" s="136">
        <f t="shared" ref="AY61:AZ61" si="88">I61+AM61</f>
        <v>13.800000000000004</v>
      </c>
      <c r="AZ61" s="136">
        <f t="shared" si="88"/>
        <v>13.800000000000004</v>
      </c>
      <c r="BB61" s="93">
        <f t="shared" ref="BB61:BC61" si="89">AY61/(C61/$X$1)</f>
        <v>0.49783549783549802</v>
      </c>
      <c r="BC61" s="93">
        <f t="shared" si="89"/>
        <v>0.49783549783549802</v>
      </c>
      <c r="BK61" s="1"/>
      <c r="BL61" s="1"/>
      <c r="BM61" s="1"/>
      <c r="BN61" s="1"/>
    </row>
    <row r="62" spans="1:66" x14ac:dyDescent="0.25">
      <c r="C62" s="39"/>
      <c r="D62" s="39"/>
      <c r="E62" s="39"/>
      <c r="F62" s="39"/>
      <c r="G62" s="39"/>
      <c r="H62" s="39"/>
      <c r="I62" s="39"/>
      <c r="J62" s="39"/>
      <c r="K62" s="39"/>
      <c r="L62" s="39"/>
      <c r="BN62" s="76"/>
    </row>
    <row r="63" spans="1:66" x14ac:dyDescent="0.25">
      <c r="A63" s="48" t="s">
        <v>64</v>
      </c>
      <c r="B63" s="44" t="s">
        <v>65</v>
      </c>
      <c r="C63" s="45" t="s">
        <v>66</v>
      </c>
    </row>
    <row r="64" spans="1:66" ht="29.25" customHeight="1" x14ac:dyDescent="0.25">
      <c r="A64" s="49"/>
      <c r="B64" s="209" t="s">
        <v>67</v>
      </c>
      <c r="C64" s="210" t="s">
        <v>68</v>
      </c>
      <c r="D64" s="210"/>
      <c r="E64" s="210"/>
      <c r="F64" s="210"/>
      <c r="G64" s="210"/>
      <c r="H64" s="210"/>
      <c r="I64" s="210"/>
      <c r="J64" s="210"/>
      <c r="K64" s="210"/>
      <c r="L64" s="210"/>
      <c r="M64" s="210"/>
    </row>
    <row r="65" spans="1:13" ht="29.25" customHeight="1" x14ac:dyDescent="0.25">
      <c r="A65" s="49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0"/>
    </row>
    <row r="66" spans="1:13" x14ac:dyDescent="0.25">
      <c r="A66" s="25"/>
      <c r="B66" s="44" t="s">
        <v>69</v>
      </c>
      <c r="C66" s="45" t="s">
        <v>70</v>
      </c>
    </row>
    <row r="67" spans="1:13" x14ac:dyDescent="0.25">
      <c r="A67" s="25"/>
      <c r="B67" s="44" t="s">
        <v>71</v>
      </c>
      <c r="C67" s="45" t="s">
        <v>72</v>
      </c>
    </row>
    <row r="68" spans="1:13" x14ac:dyDescent="0.25">
      <c r="A68" s="25"/>
      <c r="B68" s="44"/>
      <c r="C68" s="45"/>
    </row>
    <row r="69" spans="1:13" x14ac:dyDescent="0.25">
      <c r="A69" s="25" t="s">
        <v>73</v>
      </c>
      <c r="B69" s="1" t="s">
        <v>74</v>
      </c>
      <c r="C69" s="46" t="s">
        <v>75</v>
      </c>
      <c r="L69" s="47"/>
    </row>
    <row r="70" spans="1:13" x14ac:dyDescent="0.25">
      <c r="A70" s="25"/>
      <c r="B70" s="1" t="s">
        <v>76</v>
      </c>
      <c r="C70" s="47" t="s">
        <v>77</v>
      </c>
      <c r="L70" s="47"/>
    </row>
    <row r="71" spans="1:13" x14ac:dyDescent="0.25">
      <c r="A71" s="25"/>
      <c r="B71" s="1" t="s">
        <v>78</v>
      </c>
      <c r="C71" s="47" t="s">
        <v>79</v>
      </c>
      <c r="L71" s="47"/>
    </row>
    <row r="72" spans="1:13" x14ac:dyDescent="0.25">
      <c r="A72" s="25"/>
      <c r="B72" s="1" t="s">
        <v>80</v>
      </c>
      <c r="C72" s="47" t="s">
        <v>81</v>
      </c>
      <c r="L72" s="47"/>
    </row>
    <row r="73" spans="1:13" x14ac:dyDescent="0.25">
      <c r="A73" s="25"/>
    </row>
    <row r="74" spans="1:13" x14ac:dyDescent="0.25">
      <c r="A74" s="46" t="s">
        <v>82</v>
      </c>
      <c r="B74" s="1" t="s">
        <v>83</v>
      </c>
    </row>
    <row r="76" spans="1:13" x14ac:dyDescent="0.25">
      <c r="A76" s="119" t="s">
        <v>84</v>
      </c>
    </row>
    <row r="77" spans="1:13" x14ac:dyDescent="0.25">
      <c r="B77" s="47"/>
    </row>
    <row r="78" spans="1:13" x14ac:dyDescent="0.25">
      <c r="B78" s="47"/>
    </row>
    <row r="79" spans="1:13" x14ac:dyDescent="0.25">
      <c r="B79" s="47"/>
    </row>
  </sheetData>
  <mergeCells count="40">
    <mergeCell ref="AM1:AN1"/>
    <mergeCell ref="C2:D2"/>
    <mergeCell ref="F2:G2"/>
    <mergeCell ref="I2:J2"/>
    <mergeCell ref="L2:M2"/>
    <mergeCell ref="O2:P2"/>
    <mergeCell ref="R2:S2"/>
    <mergeCell ref="U2:V2"/>
    <mergeCell ref="X2:Y2"/>
    <mergeCell ref="AA2:AB2"/>
    <mergeCell ref="AV2:AW2"/>
    <mergeCell ref="AY2:AZ2"/>
    <mergeCell ref="BB2:BC2"/>
    <mergeCell ref="B48:M48"/>
    <mergeCell ref="C58:D58"/>
    <mergeCell ref="F58:G58"/>
    <mergeCell ref="I58:J58"/>
    <mergeCell ref="L58:M58"/>
    <mergeCell ref="O58:P58"/>
    <mergeCell ref="R58:S58"/>
    <mergeCell ref="AD2:AE2"/>
    <mergeCell ref="AG2:AH2"/>
    <mergeCell ref="AJ2:AK2"/>
    <mergeCell ref="AM2:AN2"/>
    <mergeCell ref="AP2:AQ2"/>
    <mergeCell ref="AS2:AT2"/>
    <mergeCell ref="AV58:AW58"/>
    <mergeCell ref="AY58:AZ58"/>
    <mergeCell ref="BB58:BC58"/>
    <mergeCell ref="U58:V58"/>
    <mergeCell ref="X58:Y58"/>
    <mergeCell ref="AA58:AB58"/>
    <mergeCell ref="AD58:AE58"/>
    <mergeCell ref="AG58:AH58"/>
    <mergeCell ref="AJ58:AK58"/>
    <mergeCell ref="B64:B65"/>
    <mergeCell ref="C64:M65"/>
    <mergeCell ref="AM58:AN58"/>
    <mergeCell ref="AP58:AQ58"/>
    <mergeCell ref="AS58:AT58"/>
  </mergeCells>
  <pageMargins left="0.7" right="0.7" top="0.75" bottom="0.75" header="0.3" footer="0.3"/>
  <pageSetup orientation="portrait" horizontalDpi="4294967295" verticalDpi="4294967295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1857F-4197-4104-BDFF-4AE4B0B8E6A4}">
  <sheetPr>
    <tabColor rgb="FFFF0000"/>
  </sheetPr>
  <dimension ref="A1:BB52"/>
  <sheetViews>
    <sheetView showGridLines="0" zoomScale="85" zoomScaleNormal="85" workbookViewId="0">
      <pane xSplit="2" ySplit="6" topLeftCell="F18" activePane="bottomRight" state="frozen"/>
      <selection pane="topRight" activeCell="C1" sqref="C1"/>
      <selection pane="bottomLeft" activeCell="A8" sqref="A8"/>
      <selection pane="bottomRight" activeCell="AG7" sqref="AG7:AO52"/>
    </sheetView>
  </sheetViews>
  <sheetFormatPr defaultColWidth="8.85546875" defaultRowHeight="15" x14ac:dyDescent="0.25"/>
  <cols>
    <col min="1" max="1" width="10" style="1" customWidth="1"/>
    <col min="2" max="2" width="20" style="25" bestFit="1" customWidth="1"/>
    <col min="3" max="6" width="12.5703125" style="1" customWidth="1"/>
    <col min="7" max="7" width="1.5703125" style="1" customWidth="1"/>
    <col min="8" max="11" width="12.5703125" style="1" customWidth="1"/>
    <col min="12" max="12" width="2.5703125" style="1" customWidth="1"/>
    <col min="13" max="16" width="12.5703125" style="1" customWidth="1"/>
    <col min="17" max="17" width="1.5703125" style="1" customWidth="1"/>
    <col min="18" max="21" width="12.5703125" style="1" customWidth="1"/>
    <col min="22" max="22" width="1.5703125" style="1" hidden="1" customWidth="1"/>
    <col min="23" max="26" width="12.5703125" style="1" hidden="1" customWidth="1"/>
    <col min="27" max="27" width="1.5703125" style="1" hidden="1" customWidth="1"/>
    <col min="28" max="31" width="12.5703125" style="1" hidden="1" customWidth="1"/>
    <col min="32" max="32" width="5.28515625" customWidth="1"/>
    <col min="33" max="36" width="12.5703125" style="1" customWidth="1"/>
    <col min="37" max="37" width="1.5703125" style="1" customWidth="1"/>
    <col min="38" max="41" width="12.5703125" style="1" customWidth="1"/>
    <col min="42" max="42" width="5.42578125" customWidth="1"/>
    <col min="43" max="43" width="8.85546875" style="1" hidden="1" customWidth="1"/>
    <col min="44" max="44" width="6.42578125" style="1" hidden="1" customWidth="1"/>
    <col min="45" max="54" width="12.5703125" style="1" hidden="1" customWidth="1"/>
    <col min="55" max="16384" width="8.85546875" style="1"/>
  </cols>
  <sheetData>
    <row r="1" spans="1:54" ht="19.5" thickBot="1" x14ac:dyDescent="0.35">
      <c r="A1" s="32" t="s">
        <v>94</v>
      </c>
      <c r="B1" s="36"/>
      <c r="C1" s="224" t="s">
        <v>210</v>
      </c>
      <c r="D1" s="225"/>
      <c r="E1" s="225"/>
      <c r="F1" s="225"/>
      <c r="G1" s="225"/>
      <c r="H1" s="225"/>
      <c r="I1" s="225"/>
      <c r="J1" s="225"/>
      <c r="K1" s="226"/>
      <c r="L1" s="3"/>
      <c r="M1" s="227" t="s">
        <v>211</v>
      </c>
      <c r="N1" s="228"/>
      <c r="O1" s="228"/>
      <c r="P1" s="228"/>
      <c r="Q1" s="228"/>
      <c r="R1" s="228"/>
      <c r="S1" s="228"/>
      <c r="T1" s="228"/>
      <c r="U1" s="229"/>
      <c r="W1" s="230" t="s">
        <v>95</v>
      </c>
      <c r="X1" s="231"/>
      <c r="Y1" s="231"/>
      <c r="Z1" s="231"/>
      <c r="AA1" s="231"/>
      <c r="AB1" s="231"/>
      <c r="AC1" s="231"/>
      <c r="AD1" s="231"/>
      <c r="AE1" s="232"/>
      <c r="AF1" s="84"/>
      <c r="AG1" s="230" t="s">
        <v>212</v>
      </c>
      <c r="AH1" s="231"/>
      <c r="AI1" s="231"/>
      <c r="AJ1" s="231"/>
      <c r="AK1" s="231"/>
      <c r="AL1" s="231"/>
      <c r="AM1" s="231"/>
      <c r="AN1" s="231"/>
      <c r="AO1" s="232"/>
      <c r="AP1" s="84"/>
    </row>
    <row r="2" spans="1:54" ht="15.75" thickBot="1" x14ac:dyDescent="0.3">
      <c r="A2" s="32" t="s">
        <v>96</v>
      </c>
      <c r="B2" s="36"/>
      <c r="AJ2" s="82">
        <v>0.5</v>
      </c>
      <c r="AR2" s="239" t="s">
        <v>97</v>
      </c>
      <c r="AS2" s="239"/>
      <c r="AT2" s="239"/>
      <c r="AU2" s="239"/>
      <c r="AV2" s="239"/>
      <c r="AW2" s="239"/>
      <c r="AX2" s="239"/>
      <c r="AY2" s="239"/>
      <c r="AZ2" s="239"/>
      <c r="BA2" s="239"/>
      <c r="BB2" s="239"/>
    </row>
    <row r="3" spans="1:54" s="4" customFormat="1" ht="15.75" thickBot="1" x14ac:dyDescent="0.3">
      <c r="A3" s="32" t="s">
        <v>98</v>
      </c>
      <c r="B3" s="34">
        <f>B2-B1+1</f>
        <v>1</v>
      </c>
      <c r="C3" s="236" t="s">
        <v>20</v>
      </c>
      <c r="D3" s="237"/>
      <c r="E3" s="237"/>
      <c r="F3" s="238"/>
      <c r="H3" s="233" t="s">
        <v>21</v>
      </c>
      <c r="I3" s="234"/>
      <c r="J3" s="234"/>
      <c r="K3" s="235"/>
      <c r="M3" s="236" t="s">
        <v>20</v>
      </c>
      <c r="N3" s="237"/>
      <c r="O3" s="237"/>
      <c r="P3" s="238"/>
      <c r="R3" s="233" t="s">
        <v>21</v>
      </c>
      <c r="S3" s="234"/>
      <c r="T3" s="234"/>
      <c r="U3" s="235"/>
      <c r="V3" s="1"/>
      <c r="W3" s="236" t="s">
        <v>20</v>
      </c>
      <c r="X3" s="237"/>
      <c r="Y3" s="237"/>
      <c r="Z3" s="238"/>
      <c r="AB3" s="233" t="s">
        <v>21</v>
      </c>
      <c r="AC3" s="234"/>
      <c r="AD3" s="234"/>
      <c r="AE3" s="235"/>
      <c r="AF3" s="85"/>
      <c r="AG3" s="236" t="s">
        <v>20</v>
      </c>
      <c r="AH3" s="237"/>
      <c r="AI3" s="237"/>
      <c r="AJ3" s="238"/>
      <c r="AL3" s="233" t="s">
        <v>21</v>
      </c>
      <c r="AM3" s="234"/>
      <c r="AN3" s="234"/>
      <c r="AO3" s="235"/>
      <c r="AP3" s="85"/>
      <c r="AS3" s="240" t="s">
        <v>99</v>
      </c>
      <c r="AT3" s="241"/>
      <c r="AU3" s="241"/>
      <c r="AV3" s="242"/>
      <c r="AW3" s="240" t="s">
        <v>100</v>
      </c>
      <c r="AX3" s="241"/>
      <c r="AY3" s="241"/>
      <c r="AZ3" s="242"/>
    </row>
    <row r="4" spans="1:54" ht="1.5" customHeight="1" thickBot="1" x14ac:dyDescent="0.3">
      <c r="B4" s="32">
        <v>102</v>
      </c>
      <c r="C4" s="2"/>
      <c r="D4" s="2"/>
      <c r="E4" s="2"/>
      <c r="F4" s="2"/>
      <c r="H4" s="2"/>
      <c r="I4" s="2"/>
      <c r="J4" s="2"/>
      <c r="K4" s="2"/>
      <c r="M4" s="2"/>
      <c r="N4" s="2"/>
      <c r="O4" s="2"/>
      <c r="P4" s="2"/>
      <c r="R4" s="2"/>
      <c r="S4" s="2"/>
      <c r="T4" s="2"/>
      <c r="U4" s="2"/>
      <c r="W4" s="2"/>
      <c r="X4" s="2"/>
      <c r="Y4" s="2"/>
      <c r="Z4" s="2"/>
      <c r="AB4" s="2"/>
      <c r="AC4" s="2"/>
      <c r="AD4" s="2"/>
      <c r="AE4" s="2"/>
      <c r="AF4" s="86"/>
      <c r="AG4" s="2"/>
      <c r="AH4" s="2"/>
      <c r="AI4" s="2"/>
      <c r="AJ4" s="2"/>
      <c r="AL4" s="2"/>
      <c r="AM4" s="2"/>
      <c r="AN4" s="2"/>
      <c r="AO4" s="2"/>
      <c r="AP4" s="86"/>
      <c r="AS4" s="63"/>
      <c r="AV4" s="57"/>
      <c r="AW4" s="63"/>
      <c r="AZ4" s="57"/>
    </row>
    <row r="5" spans="1:54" s="18" customFormat="1" ht="68.25" customHeight="1" thickBot="1" x14ac:dyDescent="0.3">
      <c r="A5" s="33" t="s">
        <v>101</v>
      </c>
      <c r="B5" s="35">
        <f>IF((B3-31)/7&gt;0,ROUNDUP((B3-31)/7,0),0)</f>
        <v>0</v>
      </c>
      <c r="C5" s="19" t="s">
        <v>22</v>
      </c>
      <c r="D5" s="20" t="s">
        <v>28</v>
      </c>
      <c r="E5" s="20" t="s">
        <v>102</v>
      </c>
      <c r="F5" s="21" t="s">
        <v>103</v>
      </c>
      <c r="G5" s="4"/>
      <c r="H5" s="22" t="s">
        <v>22</v>
      </c>
      <c r="I5" s="23" t="s">
        <v>28</v>
      </c>
      <c r="J5" s="23" t="s">
        <v>102</v>
      </c>
      <c r="K5" s="24" t="s">
        <v>103</v>
      </c>
      <c r="M5" s="19" t="s">
        <v>22</v>
      </c>
      <c r="N5" s="20" t="s">
        <v>28</v>
      </c>
      <c r="O5" s="20" t="s">
        <v>102</v>
      </c>
      <c r="P5" s="21" t="s">
        <v>103</v>
      </c>
      <c r="Q5" s="4"/>
      <c r="R5" s="22" t="s">
        <v>22</v>
      </c>
      <c r="S5" s="23" t="s">
        <v>28</v>
      </c>
      <c r="T5" s="23" t="s">
        <v>102</v>
      </c>
      <c r="U5" s="24" t="s">
        <v>103</v>
      </c>
      <c r="V5" s="1"/>
      <c r="W5" s="19" t="s">
        <v>22</v>
      </c>
      <c r="X5" s="20" t="s">
        <v>28</v>
      </c>
      <c r="Y5" s="20" t="s">
        <v>102</v>
      </c>
      <c r="Z5" s="21" t="s">
        <v>103</v>
      </c>
      <c r="AA5" s="4"/>
      <c r="AB5" s="22" t="s">
        <v>22</v>
      </c>
      <c r="AC5" s="23" t="s">
        <v>28</v>
      </c>
      <c r="AD5" s="23" t="s">
        <v>102</v>
      </c>
      <c r="AE5" s="24" t="s">
        <v>103</v>
      </c>
      <c r="AF5" s="87"/>
      <c r="AG5" s="19" t="s">
        <v>22</v>
      </c>
      <c r="AH5" s="20" t="s">
        <v>28</v>
      </c>
      <c r="AI5" s="20" t="s">
        <v>102</v>
      </c>
      <c r="AJ5" s="21" t="s">
        <v>103</v>
      </c>
      <c r="AK5" s="4"/>
      <c r="AL5" s="22" t="s">
        <v>22</v>
      </c>
      <c r="AM5" s="23" t="s">
        <v>28</v>
      </c>
      <c r="AN5" s="23" t="s">
        <v>102</v>
      </c>
      <c r="AO5" s="24" t="s">
        <v>103</v>
      </c>
      <c r="AP5" s="87"/>
      <c r="AR5" s="66" t="s">
        <v>104</v>
      </c>
      <c r="AS5" s="61" t="s">
        <v>105</v>
      </c>
      <c r="AT5" s="62" t="s">
        <v>106</v>
      </c>
      <c r="AU5" s="62" t="s">
        <v>107</v>
      </c>
      <c r="AV5" s="60" t="s">
        <v>108</v>
      </c>
      <c r="AW5" s="61" t="s">
        <v>109</v>
      </c>
      <c r="AX5" s="62" t="s">
        <v>110</v>
      </c>
      <c r="AY5" s="62" t="s">
        <v>111</v>
      </c>
      <c r="AZ5" s="60" t="s">
        <v>112</v>
      </c>
      <c r="BA5" s="66" t="s">
        <v>113</v>
      </c>
      <c r="BB5" s="62" t="s">
        <v>114</v>
      </c>
    </row>
    <row r="6" spans="1:54" ht="12.75" customHeight="1" thickBot="1" x14ac:dyDescent="0.3">
      <c r="AR6" s="55"/>
      <c r="AS6" s="63"/>
      <c r="AV6" s="57"/>
      <c r="AW6" s="63"/>
      <c r="AZ6" s="57"/>
      <c r="BA6" s="55"/>
    </row>
    <row r="7" spans="1:54" ht="12.75" customHeight="1" x14ac:dyDescent="0.25">
      <c r="A7" s="221" t="s">
        <v>115</v>
      </c>
      <c r="B7" s="26" t="s">
        <v>23</v>
      </c>
      <c r="C7" s="169">
        <f>'ST Inc Cruise from 4 Jun26'!C5</f>
        <v>10.7</v>
      </c>
      <c r="D7" s="106">
        <f>'ST Inc Cruise from 4 Jun26'!C12</f>
        <v>13.24</v>
      </c>
      <c r="E7" s="106">
        <f>'ST Inc Cruise from 4 Jun26'!C20</f>
        <v>27.77</v>
      </c>
      <c r="F7" s="107">
        <f>'ST Inc Cruise from 4 Jun26'!C28</f>
        <v>31.65</v>
      </c>
      <c r="G7" s="108"/>
      <c r="H7" s="109">
        <f>'ST Inc Cruise from 4 Jun26'!D5</f>
        <v>15.8</v>
      </c>
      <c r="I7" s="110">
        <f>'ST Inc Cruise from 4 Jun26'!D12</f>
        <v>21.13</v>
      </c>
      <c r="J7" s="110">
        <f>'ST Inc Cruise from 4 Jun26'!D20</f>
        <v>33.94</v>
      </c>
      <c r="K7" s="111">
        <f>'ST Inc Cruise from 4 Jun26'!D28</f>
        <v>37.31</v>
      </c>
      <c r="L7" s="8"/>
      <c r="M7" s="169">
        <f>'ST Inc Cruise from 4 Jun26'!L5</f>
        <v>14.124000000000001</v>
      </c>
      <c r="N7" s="106">
        <f>'ST Inc Cruise from 4 Jun26'!L12</f>
        <v>17.479000000000003</v>
      </c>
      <c r="O7" s="106">
        <f>'ST Inc Cruise from 4 Jun26'!L20</f>
        <v>36.652000000000001</v>
      </c>
      <c r="P7" s="107">
        <f>'ST Inc Cruise from 4 Jun26'!L28</f>
        <v>41.777999999999999</v>
      </c>
      <c r="Q7" s="8"/>
      <c r="R7" s="109">
        <f>'ST Inc Cruise from 4 Jun26'!M5</f>
        <v>20.856000000000002</v>
      </c>
      <c r="S7" s="110">
        <f>'ST Inc Cruise from 4 Jun26'!M12</f>
        <v>27.896000000000001</v>
      </c>
      <c r="T7" s="110">
        <f>'ST Inc Cruise from 4 Jun26'!M20</f>
        <v>44.802999999999997</v>
      </c>
      <c r="U7" s="111">
        <f>'ST Inc Cruise from 4 Jun26'!M28</f>
        <v>49.247000000000007</v>
      </c>
      <c r="W7" s="5" t="e">
        <f>SUM(C7/(1-#REF!)*1.2,1)</f>
        <v>#REF!</v>
      </c>
      <c r="X7" s="6" t="e">
        <f>SUM(D7/(1-#REF!)*1.2,1)</f>
        <v>#REF!</v>
      </c>
      <c r="Y7" s="6" t="e">
        <f>SUM(E7/(1-#REF!)*1.2,1)</f>
        <v>#REF!</v>
      </c>
      <c r="Z7" s="7" t="e">
        <f>SUM(F7/(1-#REF!)*1.2,1)</f>
        <v>#REF!</v>
      </c>
      <c r="AA7" s="8"/>
      <c r="AB7" s="9" t="e">
        <f>SUM(H7/(1-#REF!)*1.2,1)</f>
        <v>#REF!</v>
      </c>
      <c r="AC7" s="10" t="e">
        <f>SUM(I7/(1-#REF!)*1.2,1)</f>
        <v>#REF!</v>
      </c>
      <c r="AD7" s="10" t="e">
        <f>SUM(J7/(1-#REF!)*1.2,1)</f>
        <v>#REF!</v>
      </c>
      <c r="AE7" s="11" t="e">
        <f>SUM(K7/(1-#REF!)*1.2,1)</f>
        <v>#REF!</v>
      </c>
      <c r="AF7" s="88"/>
      <c r="AG7" s="5">
        <f>ROUNDDOWN(C7/(1-$AJ$2)*1.2,1)</f>
        <v>25.6</v>
      </c>
      <c r="AH7" s="6">
        <f>ROUNDDOWN(D7/(1-$AJ$2)*1.2,1)</f>
        <v>31.7</v>
      </c>
      <c r="AI7" s="6">
        <f>ROUNDDOWN(E7/(1-$AJ$2)*1.2,1)</f>
        <v>66.599999999999994</v>
      </c>
      <c r="AJ7" s="107">
        <f>ROUNDDOWN(F7/(1-$AJ$2)*1.2,1)</f>
        <v>75.900000000000006</v>
      </c>
      <c r="AK7" s="108"/>
      <c r="AL7" s="109">
        <f>ROUNDDOWN(H7/(1-$AJ$2)*1.2,1)</f>
        <v>37.9</v>
      </c>
      <c r="AM7" s="10">
        <f t="shared" ref="AM7:AO12" si="0">ROUNDDOWN(I7/(1-$AJ$2)*1.2,1)</f>
        <v>50.7</v>
      </c>
      <c r="AN7" s="10">
        <f t="shared" si="0"/>
        <v>81.400000000000006</v>
      </c>
      <c r="AO7" s="11">
        <f t="shared" si="0"/>
        <v>89.5</v>
      </c>
      <c r="AP7" s="88"/>
      <c r="AQ7" s="32" t="s">
        <v>116</v>
      </c>
      <c r="AR7" s="67">
        <f>N7</f>
        <v>17.479000000000003</v>
      </c>
      <c r="AS7" s="64">
        <f>AT7-AR7</f>
        <v>17.479000000000003</v>
      </c>
      <c r="AT7" s="56">
        <f>AR7*2</f>
        <v>34.958000000000006</v>
      </c>
      <c r="AU7" s="65">
        <f>AV7-AT7</f>
        <v>34.958000000000006</v>
      </c>
      <c r="AV7" s="58">
        <f>AT7*2</f>
        <v>69.916000000000011</v>
      </c>
      <c r="AW7" s="64" t="e">
        <f>#REF!</f>
        <v>#REF!</v>
      </c>
      <c r="AX7" s="56" t="e">
        <f>AV7+AW7</f>
        <v>#REF!</v>
      </c>
      <c r="AY7" s="65" t="e">
        <f>#REF!</f>
        <v>#REF!</v>
      </c>
      <c r="AZ7" s="58" t="e">
        <f>AX7+AY7</f>
        <v>#REF!</v>
      </c>
      <c r="BA7" s="67">
        <f>AR7*0.15</f>
        <v>2.6218500000000002</v>
      </c>
      <c r="BB7" s="56" t="e">
        <f>AZ7-BA7</f>
        <v>#REF!</v>
      </c>
    </row>
    <row r="8" spans="1:54" ht="14.45" customHeight="1" x14ac:dyDescent="0.25">
      <c r="A8" s="222"/>
      <c r="B8" s="27" t="s">
        <v>24</v>
      </c>
      <c r="C8" s="112">
        <f>'ST Inc Cruise from 4 Jun26'!C6</f>
        <v>11.18</v>
      </c>
      <c r="D8" s="113">
        <f>'ST Inc Cruise from 4 Jun26'!C13</f>
        <v>16.739999999999998</v>
      </c>
      <c r="E8" s="113">
        <f>'ST Inc Cruise from 4 Jun26'!C21</f>
        <v>33.020000000000003</v>
      </c>
      <c r="F8" s="114">
        <f>'ST Inc Cruise from 4 Jun26'!C29</f>
        <v>37.86</v>
      </c>
      <c r="G8" s="108"/>
      <c r="H8" s="115">
        <f>'ST Inc Cruise from 4 Jun26'!D6</f>
        <v>16.54</v>
      </c>
      <c r="I8" s="116">
        <f>'ST Inc Cruise from 4 Jun26'!D13</f>
        <v>25.09</v>
      </c>
      <c r="J8" s="116">
        <f>'ST Inc Cruise from 4 Jun26'!D21</f>
        <v>37.58</v>
      </c>
      <c r="K8" s="117">
        <f>'ST Inc Cruise from 4 Jun26'!D29</f>
        <v>44.45</v>
      </c>
      <c r="L8" s="8"/>
      <c r="M8" s="112">
        <f>'ST Inc Cruise from 4 Jun26'!L6</f>
        <v>14.762</v>
      </c>
      <c r="N8" s="113">
        <f>'ST Inc Cruise from 4 Jun26'!L13</f>
        <v>22.099</v>
      </c>
      <c r="O8" s="113">
        <f>'ST Inc Cruise from 4 Jun26'!L21</f>
        <v>43.582000000000001</v>
      </c>
      <c r="P8" s="114">
        <f>'ST Inc Cruise from 4 Jun26'!L29</f>
        <v>49.973000000000006</v>
      </c>
      <c r="Q8" s="8"/>
      <c r="R8" s="115">
        <f>'ST Inc Cruise from 4 Jun26'!M6</f>
        <v>21.835000000000004</v>
      </c>
      <c r="S8" s="116">
        <f>'ST Inc Cruise from 4 Jun26'!M13</f>
        <v>33.121000000000002</v>
      </c>
      <c r="T8" s="116">
        <f>'ST Inc Cruise from 4 Jun26'!M21</f>
        <v>49.610000000000007</v>
      </c>
      <c r="U8" s="117">
        <f>'ST Inc Cruise from 4 Jun26'!M29</f>
        <v>58.674000000000007</v>
      </c>
      <c r="W8" s="12" t="e">
        <f>SUM(C8/(1-#REF!)*1.2,1)</f>
        <v>#REF!</v>
      </c>
      <c r="X8" s="13" t="e">
        <f>SUM(D8/(1-#REF!)*1.2,1)</f>
        <v>#REF!</v>
      </c>
      <c r="Y8" s="13" t="e">
        <f>SUM(E8/(1-#REF!)*1.2,1)</f>
        <v>#REF!</v>
      </c>
      <c r="Z8" s="14" t="e">
        <f>SUM(F8/(1-#REF!)*1.2,1)</f>
        <v>#REF!</v>
      </c>
      <c r="AA8" s="8"/>
      <c r="AB8" s="15" t="e">
        <f>SUM(H8/(1-#REF!)*1.2,1)</f>
        <v>#REF!</v>
      </c>
      <c r="AC8" s="16" t="e">
        <f>SUM(I8/(1-#REF!)*1.2,1)</f>
        <v>#REF!</v>
      </c>
      <c r="AD8" s="16" t="e">
        <f>SUM(J8/(1-#REF!)*1.2,1)</f>
        <v>#REF!</v>
      </c>
      <c r="AE8" s="17" t="e">
        <f>SUM(K8/(1-#REF!)*1.2,1)</f>
        <v>#REF!</v>
      </c>
      <c r="AF8" s="88"/>
      <c r="AG8" s="12">
        <f t="shared" ref="AG8:AJ12" si="1">ROUNDDOWN(C8/(1-$AJ$2)*1.2,1)</f>
        <v>26.8</v>
      </c>
      <c r="AH8" s="13">
        <f t="shared" si="1"/>
        <v>40.1</v>
      </c>
      <c r="AI8" s="13">
        <f t="shared" si="1"/>
        <v>79.2</v>
      </c>
      <c r="AJ8" s="114">
        <f t="shared" si="1"/>
        <v>90.8</v>
      </c>
      <c r="AK8" s="108"/>
      <c r="AL8" s="115">
        <f t="shared" ref="AL8:AL11" si="2">ROUNDDOWN(H8/(1-$AJ$2)*1.2,1)</f>
        <v>39.6</v>
      </c>
      <c r="AM8" s="16">
        <f t="shared" si="0"/>
        <v>60.2</v>
      </c>
      <c r="AN8" s="16">
        <f t="shared" si="0"/>
        <v>90.1</v>
      </c>
      <c r="AO8" s="17">
        <f t="shared" si="0"/>
        <v>106.6</v>
      </c>
      <c r="AP8" s="88"/>
      <c r="AQ8" s="73" t="s">
        <v>117</v>
      </c>
      <c r="AR8" s="68">
        <f>D7</f>
        <v>13.24</v>
      </c>
      <c r="AS8" s="69">
        <f>AT8-AR8</f>
        <v>13.24</v>
      </c>
      <c r="AT8" s="70">
        <f>AR8*2</f>
        <v>26.48</v>
      </c>
      <c r="AU8" s="71">
        <f>AV8-AT8</f>
        <v>26.48</v>
      </c>
      <c r="AV8" s="72">
        <f>AT8*2</f>
        <v>52.96</v>
      </c>
      <c r="AW8" s="69" t="e">
        <f>#REF!</f>
        <v>#REF!</v>
      </c>
      <c r="AX8" s="70" t="e">
        <f>AV8+AW8</f>
        <v>#REF!</v>
      </c>
      <c r="AY8" s="71" t="e">
        <f>#REF!</f>
        <v>#REF!</v>
      </c>
      <c r="AZ8" s="72" t="e">
        <f>AX8+AY8</f>
        <v>#REF!</v>
      </c>
      <c r="BA8" s="68">
        <f>AR8*0.15</f>
        <v>1.986</v>
      </c>
      <c r="BB8" s="70" t="e">
        <f>AZ8-BA8</f>
        <v>#REF!</v>
      </c>
    </row>
    <row r="9" spans="1:54" ht="14.45" customHeight="1" x14ac:dyDescent="0.25">
      <c r="A9" s="222"/>
      <c r="B9" s="27" t="s">
        <v>25</v>
      </c>
      <c r="C9" s="112">
        <f>'ST Inc Cruise from 4 Jun26'!C7</f>
        <v>12.23</v>
      </c>
      <c r="D9" s="113">
        <f>'ST Inc Cruise from 4 Jun26'!C14</f>
        <v>19.52</v>
      </c>
      <c r="E9" s="113">
        <f>'ST Inc Cruise from 4 Jun26'!C22</f>
        <v>39.840000000000003</v>
      </c>
      <c r="F9" s="114">
        <f>'ST Inc Cruise from 4 Jun26'!C30</f>
        <v>46.24</v>
      </c>
      <c r="G9" s="108"/>
      <c r="H9" s="115">
        <f>'ST Inc Cruise from 4 Jun26'!D7</f>
        <v>18.170000000000002</v>
      </c>
      <c r="I9" s="116">
        <f>'ST Inc Cruise from 4 Jun26'!D14</f>
        <v>28.01</v>
      </c>
      <c r="J9" s="116">
        <f>'ST Inc Cruise from 4 Jun26'!D22</f>
        <v>45.73</v>
      </c>
      <c r="K9" s="117">
        <f>'ST Inc Cruise from 4 Jun26'!D30</f>
        <v>51.15</v>
      </c>
      <c r="L9" s="8"/>
      <c r="M9" s="112">
        <f>'ST Inc Cruise from 4 Jun26'!L7</f>
        <v>16.148</v>
      </c>
      <c r="N9" s="113">
        <f>'ST Inc Cruise from 4 Jun26'!L14</f>
        <v>25.762000000000004</v>
      </c>
      <c r="O9" s="113">
        <f>'ST Inc Cruise from 4 Jun26'!L22</f>
        <v>52.591000000000008</v>
      </c>
      <c r="P9" s="114">
        <f>'ST Inc Cruise from 4 Jun26'!L30</f>
        <v>61.039000000000009</v>
      </c>
      <c r="Q9" s="8"/>
      <c r="R9" s="115">
        <f>'ST Inc Cruise from 4 Jun26'!M7</f>
        <v>23.980000000000004</v>
      </c>
      <c r="S9" s="116">
        <f>'ST Inc Cruise from 4 Jun26'!M14</f>
        <v>36.971000000000004</v>
      </c>
      <c r="T9" s="116">
        <f>'ST Inc Cruise from 4 Jun26'!M22</f>
        <v>60.368000000000009</v>
      </c>
      <c r="U9" s="117">
        <f>'ST Inc Cruise from 4 Jun26'!M30</f>
        <v>67.518000000000015</v>
      </c>
      <c r="W9" s="12" t="e">
        <f>SUM(C9/(1-#REF!)*1.2,1)</f>
        <v>#REF!</v>
      </c>
      <c r="X9" s="13" t="e">
        <f>SUM(D9/(1-#REF!)*1.2,1)</f>
        <v>#REF!</v>
      </c>
      <c r="Y9" s="13" t="e">
        <f>SUM(E9/(1-#REF!)*1.2,1)</f>
        <v>#REF!</v>
      </c>
      <c r="Z9" s="14" t="e">
        <f>SUM(F9/(1-#REF!)*1.2,1)</f>
        <v>#REF!</v>
      </c>
      <c r="AA9" s="8"/>
      <c r="AB9" s="15" t="e">
        <f>SUM(H9/(1-#REF!)*1.2,1)</f>
        <v>#REF!</v>
      </c>
      <c r="AC9" s="16" t="e">
        <f>SUM(I9/(1-#REF!)*1.2,1)</f>
        <v>#REF!</v>
      </c>
      <c r="AD9" s="16" t="e">
        <f>SUM(J9/(1-#REF!)*1.2,1)</f>
        <v>#REF!</v>
      </c>
      <c r="AE9" s="17" t="e">
        <f>SUM(K9/(1-#REF!)*1.2,1)</f>
        <v>#REF!</v>
      </c>
      <c r="AF9" s="88"/>
      <c r="AG9" s="12">
        <f t="shared" si="1"/>
        <v>29.3</v>
      </c>
      <c r="AH9" s="13">
        <f t="shared" si="1"/>
        <v>46.8</v>
      </c>
      <c r="AI9" s="13">
        <f t="shared" si="1"/>
        <v>95.6</v>
      </c>
      <c r="AJ9" s="114">
        <f t="shared" si="1"/>
        <v>110.9</v>
      </c>
      <c r="AK9" s="108"/>
      <c r="AL9" s="115">
        <f t="shared" si="2"/>
        <v>43.6</v>
      </c>
      <c r="AM9" s="16">
        <f t="shared" si="0"/>
        <v>67.2</v>
      </c>
      <c r="AN9" s="16">
        <f t="shared" si="0"/>
        <v>109.7</v>
      </c>
      <c r="AO9" s="17">
        <f t="shared" si="0"/>
        <v>122.7</v>
      </c>
      <c r="AP9" s="88"/>
      <c r="AR9" s="37"/>
    </row>
    <row r="10" spans="1:54" ht="14.45" customHeight="1" x14ac:dyDescent="0.25">
      <c r="A10" s="222"/>
      <c r="B10" s="27" t="s">
        <v>26</v>
      </c>
      <c r="C10" s="112">
        <f>'ST Inc Cruise from 4 Jun26'!C8</f>
        <v>13.38</v>
      </c>
      <c r="D10" s="113">
        <f>'ST Inc Cruise from 4 Jun26'!C15</f>
        <v>25.45</v>
      </c>
      <c r="E10" s="113">
        <f>'ST Inc Cruise from 4 Jun26'!C23</f>
        <v>48.71</v>
      </c>
      <c r="F10" s="114">
        <f>'ST Inc Cruise from 4 Jun26'!C31</f>
        <v>57.41</v>
      </c>
      <c r="G10" s="108"/>
      <c r="H10" s="115">
        <f>'ST Inc Cruise from 4 Jun26'!D8</f>
        <v>19.899999999999999</v>
      </c>
      <c r="I10" s="116">
        <f>'ST Inc Cruise from 4 Jun26'!D15</f>
        <v>35.450000000000003</v>
      </c>
      <c r="J10" s="116">
        <f>'ST Inc Cruise from 4 Jun26'!D23</f>
        <v>55.92</v>
      </c>
      <c r="K10" s="117">
        <f>'ST Inc Cruise from 4 Jun26'!D31</f>
        <v>65.7</v>
      </c>
      <c r="L10" s="8"/>
      <c r="M10" s="112">
        <f>'ST Inc Cruise from 4 Jun26'!L8</f>
        <v>17.666</v>
      </c>
      <c r="N10" s="113">
        <f>'ST Inc Cruise from 4 Jun26'!L15</f>
        <v>33.594000000000001</v>
      </c>
      <c r="O10" s="113">
        <f>'ST Inc Cruise from 4 Jun26'!L23</f>
        <v>64.295000000000002</v>
      </c>
      <c r="P10" s="114">
        <f>'ST Inc Cruise from 4 Jun26'!L31</f>
        <v>75.779000000000011</v>
      </c>
      <c r="Q10" s="8"/>
      <c r="R10" s="115">
        <f>'ST Inc Cruise from 4 Jun26'!M8</f>
        <v>26.268000000000001</v>
      </c>
      <c r="S10" s="116">
        <f>'ST Inc Cruise from 4 Jun26'!M15</f>
        <v>46.794000000000004</v>
      </c>
      <c r="T10" s="116">
        <f>'ST Inc Cruise from 4 Jun26'!M23</f>
        <v>73.81</v>
      </c>
      <c r="U10" s="117">
        <f>'ST Inc Cruise from 4 Jun26'!M31</f>
        <v>86.724000000000004</v>
      </c>
      <c r="W10" s="12" t="e">
        <f>SUM(C10/(1-#REF!)*1.2,1)</f>
        <v>#REF!</v>
      </c>
      <c r="X10" s="13" t="e">
        <f>SUM(D10/(1-#REF!)*1.2,1)</f>
        <v>#REF!</v>
      </c>
      <c r="Y10" s="13" t="e">
        <f>SUM(E10/(1-#REF!)*1.2,1)</f>
        <v>#REF!</v>
      </c>
      <c r="Z10" s="14" t="e">
        <f>SUM(F10/(1-#REF!)*1.2,1)</f>
        <v>#REF!</v>
      </c>
      <c r="AA10" s="8"/>
      <c r="AB10" s="15" t="e">
        <f>SUM(H10/(1-#REF!)*1.2,1)</f>
        <v>#REF!</v>
      </c>
      <c r="AC10" s="16" t="e">
        <f>SUM(I10/(1-#REF!)*1.2,1)</f>
        <v>#REF!</v>
      </c>
      <c r="AD10" s="16" t="e">
        <f>SUM(J10/(1-#REF!)*1.2,1)</f>
        <v>#REF!</v>
      </c>
      <c r="AE10" s="17" t="e">
        <f>SUM(K10/(1-#REF!)*1.2,1)</f>
        <v>#REF!</v>
      </c>
      <c r="AF10" s="88"/>
      <c r="AG10" s="12">
        <f t="shared" si="1"/>
        <v>32.1</v>
      </c>
      <c r="AH10" s="13">
        <f t="shared" si="1"/>
        <v>61</v>
      </c>
      <c r="AI10" s="13">
        <f t="shared" si="1"/>
        <v>116.9</v>
      </c>
      <c r="AJ10" s="114">
        <f t="shared" si="1"/>
        <v>137.69999999999999</v>
      </c>
      <c r="AK10" s="108"/>
      <c r="AL10" s="115">
        <f t="shared" si="2"/>
        <v>47.7</v>
      </c>
      <c r="AM10" s="16">
        <f t="shared" si="0"/>
        <v>85</v>
      </c>
      <c r="AN10" s="16">
        <f t="shared" si="0"/>
        <v>134.19999999999999</v>
      </c>
      <c r="AO10" s="17">
        <f t="shared" si="0"/>
        <v>157.6</v>
      </c>
      <c r="AP10" s="88"/>
      <c r="AR10" s="37"/>
      <c r="AS10" s="37"/>
      <c r="AT10" s="37"/>
      <c r="AU10" s="37"/>
      <c r="AV10" s="37"/>
      <c r="AW10" s="37"/>
      <c r="AX10" s="37"/>
      <c r="AY10" s="37"/>
      <c r="AZ10" s="37"/>
      <c r="BA10" s="56"/>
      <c r="BB10" s="56"/>
    </row>
    <row r="11" spans="1:54" ht="14.45" customHeight="1" x14ac:dyDescent="0.25">
      <c r="A11" s="222"/>
      <c r="B11" s="27" t="s">
        <v>27</v>
      </c>
      <c r="C11" s="112">
        <f>'ST Inc Cruise from 4 Jun26'!C9</f>
        <v>13.4</v>
      </c>
      <c r="D11" s="113">
        <f>'ST Inc Cruise from 4 Jun26'!C16</f>
        <v>29.83</v>
      </c>
      <c r="E11" s="113">
        <f>'ST Inc Cruise from 4 Jun26'!C24</f>
        <v>54.49</v>
      </c>
      <c r="F11" s="114">
        <f>'ST Inc Cruise from 4 Jun26'!C32</f>
        <v>63.11</v>
      </c>
      <c r="G11" s="108"/>
      <c r="H11" s="115">
        <f>'ST Inc Cruise from 4 Jun26'!D9</f>
        <v>19.91</v>
      </c>
      <c r="I11" s="116">
        <f>'ST Inc Cruise from 4 Jun26'!D16</f>
        <v>41.36</v>
      </c>
      <c r="J11" s="116">
        <f>'ST Inc Cruise from 4 Jun26'!D24</f>
        <v>61.51</v>
      </c>
      <c r="K11" s="117">
        <f>'ST Inc Cruise from 4 Jun26'!D32</f>
        <v>70.94</v>
      </c>
      <c r="L11" s="8"/>
      <c r="M11" s="112">
        <f>'ST Inc Cruise from 4 Jun26'!L9</f>
        <v>17.687999999999999</v>
      </c>
      <c r="N11" s="113">
        <f>'ST Inc Cruise from 4 Jun26'!L16</f>
        <v>39.380000000000003</v>
      </c>
      <c r="O11" s="113">
        <f>'ST Inc Cruise from 4 Jun26'!L24</f>
        <v>71.929000000000002</v>
      </c>
      <c r="P11" s="114">
        <f>'ST Inc Cruise from 4 Jun26'!L32</f>
        <v>83.303000000000011</v>
      </c>
      <c r="Q11" s="8"/>
      <c r="R11" s="115">
        <f>'ST Inc Cruise from 4 Jun26'!M9</f>
        <v>26.279000000000003</v>
      </c>
      <c r="S11" s="116">
        <f>'ST Inc Cruise from 4 Jun26'!M16</f>
        <v>54.593000000000011</v>
      </c>
      <c r="T11" s="116">
        <f>'ST Inc Cruise from 4 Jun26'!M24</f>
        <v>81.191000000000003</v>
      </c>
      <c r="U11" s="117">
        <f>'ST Inc Cruise from 4 Jun26'!M32</f>
        <v>93.643000000000001</v>
      </c>
      <c r="W11" s="12" t="e">
        <f>SUM(C11/(1-#REF!)*1.2,1)</f>
        <v>#REF!</v>
      </c>
      <c r="X11" s="13" t="e">
        <f>SUM(D11/(1-#REF!)*1.2,1)</f>
        <v>#REF!</v>
      </c>
      <c r="Y11" s="13" t="e">
        <f>SUM(E11/(1-#REF!)*1.2,1)</f>
        <v>#REF!</v>
      </c>
      <c r="Z11" s="14" t="e">
        <f>SUM(F11/(1-#REF!)*1.2,1)</f>
        <v>#REF!</v>
      </c>
      <c r="AA11" s="8"/>
      <c r="AB11" s="15" t="e">
        <f>SUM(H11/(1-#REF!)*1.2,1)</f>
        <v>#REF!</v>
      </c>
      <c r="AC11" s="16" t="e">
        <f>SUM(I11/(1-#REF!)*1.2,1)</f>
        <v>#REF!</v>
      </c>
      <c r="AD11" s="16" t="e">
        <f>SUM(J11/(1-#REF!)*1.2,1)</f>
        <v>#REF!</v>
      </c>
      <c r="AE11" s="17" t="e">
        <f>SUM(K11/(1-#REF!)*1.2,1)</f>
        <v>#REF!</v>
      </c>
      <c r="AF11" s="88"/>
      <c r="AG11" s="112">
        <f t="shared" si="1"/>
        <v>32.1</v>
      </c>
      <c r="AH11" s="13">
        <f t="shared" si="1"/>
        <v>71.5</v>
      </c>
      <c r="AI11" s="13">
        <f t="shared" si="1"/>
        <v>130.69999999999999</v>
      </c>
      <c r="AJ11" s="114">
        <f t="shared" si="1"/>
        <v>151.4</v>
      </c>
      <c r="AK11" s="108"/>
      <c r="AL11" s="115">
        <f t="shared" si="2"/>
        <v>47.7</v>
      </c>
      <c r="AM11" s="16">
        <f t="shared" si="0"/>
        <v>99.2</v>
      </c>
      <c r="AN11" s="16">
        <f t="shared" si="0"/>
        <v>147.6</v>
      </c>
      <c r="AO11" s="17">
        <f t="shared" si="0"/>
        <v>170.2</v>
      </c>
      <c r="AP11" s="88"/>
    </row>
    <row r="12" spans="1:54" ht="14.45" customHeight="1" thickBot="1" x14ac:dyDescent="0.3">
      <c r="A12" s="223"/>
      <c r="B12" s="27" t="s">
        <v>29</v>
      </c>
      <c r="C12" s="112" t="s">
        <v>118</v>
      </c>
      <c r="D12" s="113">
        <f>'ST Inc Cruise from 4 Jun26'!C17</f>
        <v>3.84</v>
      </c>
      <c r="E12" s="113">
        <f>'ST Inc Cruise from 4 Jun26'!C25</f>
        <v>7.41</v>
      </c>
      <c r="F12" s="114">
        <f>'ST Inc Cruise from 4 Jun26'!C33</f>
        <v>10</v>
      </c>
      <c r="G12" s="108"/>
      <c r="H12" s="115" t="s">
        <v>118</v>
      </c>
      <c r="I12" s="116">
        <f>'ST Inc Cruise from 4 Jun26'!D17</f>
        <v>5.21</v>
      </c>
      <c r="J12" s="116">
        <f>'ST Inc Cruise from 4 Jun26'!D25</f>
        <v>8.1</v>
      </c>
      <c r="K12" s="117">
        <f>'ST Inc Cruise from 4 Jun26'!D33</f>
        <v>10.82</v>
      </c>
      <c r="L12" s="8"/>
      <c r="M12" s="112" t="s">
        <v>118</v>
      </c>
      <c r="N12" s="113">
        <f>'ST Inc Cruise from 4 Jun26'!L17</f>
        <v>5.0710000000000006</v>
      </c>
      <c r="O12" s="113">
        <f>'ST Inc Cruise from 4 Jun26'!L25</f>
        <v>9.7790000000000017</v>
      </c>
      <c r="P12" s="114">
        <f>'ST Inc Cruise from 4 Jun26'!L33</f>
        <v>13.200000000000001</v>
      </c>
      <c r="Q12" s="8"/>
      <c r="R12" s="115" t="s">
        <v>118</v>
      </c>
      <c r="S12" s="116">
        <f>'ST Inc Cruise from 4 Jun26'!M17</f>
        <v>6.8750000000000009</v>
      </c>
      <c r="T12" s="116">
        <f>'ST Inc Cruise from 4 Jun26'!M25</f>
        <v>10.692000000000002</v>
      </c>
      <c r="U12" s="117">
        <f>'ST Inc Cruise from 4 Jun26'!M33</f>
        <v>14.278000000000002</v>
      </c>
      <c r="W12" s="12" t="s">
        <v>118</v>
      </c>
      <c r="X12" s="13" t="e">
        <f>SUM(D12/(1-#REF!)*1.2,1)</f>
        <v>#REF!</v>
      </c>
      <c r="Y12" s="13" t="e">
        <f>SUM(E12/(1-#REF!)*1.2,1)</f>
        <v>#REF!</v>
      </c>
      <c r="Z12" s="14" t="e">
        <f>SUM(F12/(1-#REF!)*1.2,1)</f>
        <v>#REF!</v>
      </c>
      <c r="AA12" s="8"/>
      <c r="AB12" s="15" t="s">
        <v>118</v>
      </c>
      <c r="AC12" s="16" t="e">
        <f>SUM(I12/(1-#REF!)*1.2,1)</f>
        <v>#REF!</v>
      </c>
      <c r="AD12" s="16" t="e">
        <f>SUM(J12/(1-#REF!)*1.2,1)</f>
        <v>#REF!</v>
      </c>
      <c r="AE12" s="17" t="e">
        <f>SUM(K12/(1-#REF!)*1.2,1)</f>
        <v>#REF!</v>
      </c>
      <c r="AF12" s="88"/>
      <c r="AG12" s="112" t="s">
        <v>118</v>
      </c>
      <c r="AH12" s="13">
        <f t="shared" si="1"/>
        <v>9.1999999999999993</v>
      </c>
      <c r="AI12" s="13">
        <f t="shared" si="1"/>
        <v>17.7</v>
      </c>
      <c r="AJ12" s="114">
        <f t="shared" si="1"/>
        <v>24</v>
      </c>
      <c r="AK12" s="108"/>
      <c r="AL12" s="115" t="s">
        <v>118</v>
      </c>
      <c r="AM12" s="16">
        <f t="shared" si="0"/>
        <v>12.5</v>
      </c>
      <c r="AN12" s="16">
        <f t="shared" si="0"/>
        <v>19.399999999999999</v>
      </c>
      <c r="AO12" s="17">
        <f t="shared" si="0"/>
        <v>25.9</v>
      </c>
      <c r="AP12" s="88"/>
    </row>
    <row r="13" spans="1:54" ht="5.0999999999999996" customHeight="1" thickBot="1" x14ac:dyDescent="0.3"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W13" s="8"/>
      <c r="X13" s="8"/>
      <c r="Y13" s="8"/>
      <c r="Z13" s="8"/>
      <c r="AA13" s="8"/>
      <c r="AB13" s="8"/>
      <c r="AC13" s="8"/>
      <c r="AD13" s="8"/>
      <c r="AE13" s="8"/>
      <c r="AF13" s="89"/>
      <c r="AG13" s="108"/>
      <c r="AH13" s="108"/>
      <c r="AI13" s="108"/>
      <c r="AJ13" s="108"/>
      <c r="AK13" s="108"/>
      <c r="AL13" s="108"/>
      <c r="AM13" s="108"/>
      <c r="AN13" s="108"/>
      <c r="AO13" s="108"/>
      <c r="AP13" s="89"/>
    </row>
    <row r="14" spans="1:54" ht="15.75" thickBot="1" x14ac:dyDescent="0.3">
      <c r="B14" s="28" t="s">
        <v>119</v>
      </c>
      <c r="C14" s="29">
        <v>1.0900000000000001</v>
      </c>
      <c r="D14" s="28"/>
      <c r="E14" s="28"/>
      <c r="F14" s="28"/>
      <c r="G14" s="28"/>
      <c r="H14" s="29">
        <v>1.0900000000000001</v>
      </c>
      <c r="I14" s="28"/>
      <c r="J14" s="28"/>
      <c r="K14" s="28"/>
      <c r="L14" s="28"/>
      <c r="M14" s="29">
        <v>1.0900000000000001</v>
      </c>
      <c r="N14" s="28"/>
      <c r="O14" s="28"/>
      <c r="P14" s="28"/>
      <c r="Q14" s="28"/>
      <c r="R14" s="29">
        <v>1.0900000000000001</v>
      </c>
      <c r="S14" s="8"/>
      <c r="T14" s="8"/>
      <c r="W14" s="31">
        <v>1.0798000000000001</v>
      </c>
      <c r="X14" s="28"/>
      <c r="Y14" s="28"/>
      <c r="Z14" s="28"/>
      <c r="AA14" s="28"/>
      <c r="AB14" s="31">
        <v>1.0798000000000001</v>
      </c>
      <c r="AC14" s="8"/>
      <c r="AD14" s="8"/>
      <c r="AG14" s="108"/>
      <c r="AH14" s="108"/>
      <c r="AI14" s="108"/>
      <c r="AJ14" s="108"/>
      <c r="AK14" s="108"/>
      <c r="AL14" s="108"/>
      <c r="AM14" s="108"/>
      <c r="AN14" s="108"/>
      <c r="AS14" s="32"/>
      <c r="AT14" s="56"/>
      <c r="AU14" s="56"/>
      <c r="AV14" s="56"/>
      <c r="AW14" s="56"/>
      <c r="AX14" s="56"/>
      <c r="AY14" s="56"/>
      <c r="AZ14" s="56"/>
    </row>
    <row r="15" spans="1:54" ht="14.45" customHeight="1" x14ac:dyDescent="0.25">
      <c r="A15" s="221" t="s">
        <v>120</v>
      </c>
      <c r="B15" s="26" t="s">
        <v>23</v>
      </c>
      <c r="C15" s="105">
        <f t="shared" ref="C15:C20" si="3">IFERROR(C7*C$14,"N/A")</f>
        <v>11.663</v>
      </c>
      <c r="D15" s="106">
        <f t="shared" ref="D15:D20" si="4">IFERROR(D7*C$14,"N/A")</f>
        <v>14.431600000000001</v>
      </c>
      <c r="E15" s="106">
        <f t="shared" ref="E15:E20" si="5">IFERROR(E7*C$14,"N/A")</f>
        <v>30.269300000000001</v>
      </c>
      <c r="F15" s="107">
        <f t="shared" ref="F15:F20" si="6">IFERROR(F7*C$14,"N/A")</f>
        <v>34.4985</v>
      </c>
      <c r="G15" s="108"/>
      <c r="H15" s="109">
        <f t="shared" ref="H15:H20" si="7">IFERROR(H7*H$14,"N/A")</f>
        <v>17.222000000000001</v>
      </c>
      <c r="I15" s="110">
        <f t="shared" ref="I15:I20" si="8">IFERROR(I7*H$14,"N/A")</f>
        <v>23.031700000000001</v>
      </c>
      <c r="J15" s="110">
        <f t="shared" ref="J15:J20" si="9">IFERROR(J7*H$14,"N/A")</f>
        <v>36.994599999999998</v>
      </c>
      <c r="K15" s="111">
        <f t="shared" ref="K15:K20" si="10">IFERROR(K7*H$14,"N/A")</f>
        <v>40.667900000000003</v>
      </c>
      <c r="L15" s="8"/>
      <c r="M15" s="5">
        <f t="shared" ref="M15:M20" si="11">IFERROR(M7*M$14,"N/A")</f>
        <v>15.395160000000002</v>
      </c>
      <c r="N15" s="6">
        <f t="shared" ref="N15:N20" si="12">IFERROR(N7*M$14,"N/A")</f>
        <v>19.052110000000006</v>
      </c>
      <c r="O15" s="6">
        <f t="shared" ref="O15:O20" si="13">IFERROR(O7*M$14,"N/A")</f>
        <v>39.950680000000006</v>
      </c>
      <c r="P15" s="7">
        <f t="shared" ref="P15:P20" si="14">IFERROR(P7*M$14,"N/A")</f>
        <v>45.538020000000003</v>
      </c>
      <c r="Q15" s="8"/>
      <c r="R15" s="9">
        <f t="shared" ref="R15:R20" si="15">IFERROR(R7*R$14,"N/A")</f>
        <v>22.733040000000003</v>
      </c>
      <c r="S15" s="10">
        <f t="shared" ref="S15:S20" si="16">IFERROR(S7*R$14,"N/A")</f>
        <v>30.406640000000003</v>
      </c>
      <c r="T15" s="10">
        <f t="shared" ref="T15:T20" si="17">IFERROR(T7*R$14,"N/A")</f>
        <v>48.835270000000001</v>
      </c>
      <c r="U15" s="11">
        <f t="shared" ref="U15:U20" si="18">IFERROR(U7*R$14,"N/A")</f>
        <v>53.679230000000011</v>
      </c>
      <c r="W15" s="5" t="str">
        <f t="shared" ref="W15:W20" si="19">IFERROR(W7*W$14,"N/A")</f>
        <v>N/A</v>
      </c>
      <c r="X15" s="6" t="str">
        <f t="shared" ref="X15:X20" si="20">IFERROR(X7*W$14,"N/A")</f>
        <v>N/A</v>
      </c>
      <c r="Y15" s="6" t="str">
        <f t="shared" ref="Y15:Y20" si="21">IFERROR(Y7*W$14,"N/A")</f>
        <v>N/A</v>
      </c>
      <c r="Z15" s="7" t="str">
        <f t="shared" ref="Z15:Z20" si="22">IFERROR(Z7*W$14,"N/A")</f>
        <v>N/A</v>
      </c>
      <c r="AA15" s="8"/>
      <c r="AB15" s="9" t="str">
        <f t="shared" ref="AB15:AB20" si="23">IFERROR(AB7*AB$14,"N/A")</f>
        <v>N/A</v>
      </c>
      <c r="AC15" s="10" t="str">
        <f t="shared" ref="AC15:AC20" si="24">IFERROR(AC7*AB$14,"N/A")</f>
        <v>N/A</v>
      </c>
      <c r="AD15" s="10" t="str">
        <f t="shared" ref="AD15:AD20" si="25">IFERROR(AD7*AB$14,"N/A")</f>
        <v>N/A</v>
      </c>
      <c r="AE15" s="11" t="str">
        <f t="shared" ref="AE15:AE20" si="26">IFERROR(AE7*AB$14,"N/A")</f>
        <v>N/A</v>
      </c>
      <c r="AF15" s="88"/>
      <c r="AG15" s="5">
        <f t="shared" ref="AG15:AJ19" si="27">ROUNDDOWN(AG7*$C$14,1)</f>
        <v>27.9</v>
      </c>
      <c r="AH15" s="6">
        <f t="shared" si="27"/>
        <v>34.5</v>
      </c>
      <c r="AI15" s="6">
        <f t="shared" si="27"/>
        <v>72.5</v>
      </c>
      <c r="AJ15" s="107">
        <f t="shared" si="27"/>
        <v>82.7</v>
      </c>
      <c r="AK15" s="108"/>
      <c r="AL15" s="109">
        <f t="shared" ref="AL15:AO19" si="28">ROUNDDOWN(AL7*$C$14,1)</f>
        <v>41.3</v>
      </c>
      <c r="AM15" s="10">
        <f t="shared" si="28"/>
        <v>55.2</v>
      </c>
      <c r="AN15" s="10">
        <f t="shared" si="28"/>
        <v>88.7</v>
      </c>
      <c r="AO15" s="11">
        <f t="shared" si="28"/>
        <v>97.5</v>
      </c>
      <c r="AP15" s="88"/>
      <c r="AS15" s="32"/>
      <c r="AT15" s="56"/>
      <c r="AU15" s="56"/>
      <c r="AV15" s="56"/>
      <c r="AW15" s="56"/>
      <c r="AX15" s="56"/>
      <c r="AY15" s="56"/>
      <c r="AZ15" s="56"/>
    </row>
    <row r="16" spans="1:54" ht="14.45" customHeight="1" x14ac:dyDescent="0.25">
      <c r="A16" s="222"/>
      <c r="B16" s="27" t="s">
        <v>24</v>
      </c>
      <c r="C16" s="112">
        <f t="shared" si="3"/>
        <v>12.186200000000001</v>
      </c>
      <c r="D16" s="113">
        <f t="shared" si="4"/>
        <v>18.246600000000001</v>
      </c>
      <c r="E16" s="113">
        <f t="shared" si="5"/>
        <v>35.991800000000005</v>
      </c>
      <c r="F16" s="114">
        <f t="shared" si="6"/>
        <v>41.267400000000002</v>
      </c>
      <c r="G16" s="108"/>
      <c r="H16" s="115">
        <f t="shared" si="7"/>
        <v>18.028600000000001</v>
      </c>
      <c r="I16" s="116">
        <f t="shared" si="8"/>
        <v>27.348100000000002</v>
      </c>
      <c r="J16" s="116">
        <f t="shared" si="9"/>
        <v>40.962200000000003</v>
      </c>
      <c r="K16" s="117">
        <f t="shared" si="10"/>
        <v>48.450500000000005</v>
      </c>
      <c r="L16" s="8"/>
      <c r="M16" s="12">
        <f t="shared" si="11"/>
        <v>16.090580000000003</v>
      </c>
      <c r="N16" s="13">
        <f t="shared" si="12"/>
        <v>24.087910000000001</v>
      </c>
      <c r="O16" s="13">
        <f t="shared" si="13"/>
        <v>47.504380000000005</v>
      </c>
      <c r="P16" s="14">
        <f t="shared" si="14"/>
        <v>54.470570000000009</v>
      </c>
      <c r="Q16" s="8"/>
      <c r="R16" s="15">
        <f t="shared" si="15"/>
        <v>23.800150000000006</v>
      </c>
      <c r="S16" s="16">
        <f t="shared" si="16"/>
        <v>36.101890000000004</v>
      </c>
      <c r="T16" s="16">
        <f t="shared" si="17"/>
        <v>54.074900000000014</v>
      </c>
      <c r="U16" s="17">
        <f t="shared" si="18"/>
        <v>63.954660000000011</v>
      </c>
      <c r="W16" s="12" t="str">
        <f t="shared" si="19"/>
        <v>N/A</v>
      </c>
      <c r="X16" s="13" t="str">
        <f t="shared" si="20"/>
        <v>N/A</v>
      </c>
      <c r="Y16" s="13" t="str">
        <f t="shared" si="21"/>
        <v>N/A</v>
      </c>
      <c r="Z16" s="14" t="str">
        <f t="shared" si="22"/>
        <v>N/A</v>
      </c>
      <c r="AA16" s="8"/>
      <c r="AB16" s="15" t="str">
        <f t="shared" si="23"/>
        <v>N/A</v>
      </c>
      <c r="AC16" s="16" t="str">
        <f t="shared" si="24"/>
        <v>N/A</v>
      </c>
      <c r="AD16" s="16" t="str">
        <f t="shared" si="25"/>
        <v>N/A</v>
      </c>
      <c r="AE16" s="17" t="str">
        <f t="shared" si="26"/>
        <v>N/A</v>
      </c>
      <c r="AF16" s="88"/>
      <c r="AG16" s="12">
        <f t="shared" si="27"/>
        <v>29.2</v>
      </c>
      <c r="AH16" s="13">
        <f t="shared" si="27"/>
        <v>43.7</v>
      </c>
      <c r="AI16" s="13">
        <f t="shared" si="27"/>
        <v>86.3</v>
      </c>
      <c r="AJ16" s="114">
        <f t="shared" si="27"/>
        <v>98.9</v>
      </c>
      <c r="AK16" s="108"/>
      <c r="AL16" s="115">
        <f t="shared" si="28"/>
        <v>43.1</v>
      </c>
      <c r="AM16" s="16">
        <f t="shared" si="28"/>
        <v>65.599999999999994</v>
      </c>
      <c r="AN16" s="16">
        <f t="shared" si="28"/>
        <v>98.2</v>
      </c>
      <c r="AO16" s="17">
        <f t="shared" si="28"/>
        <v>116.1</v>
      </c>
      <c r="AP16" s="88"/>
      <c r="AQ16" s="37"/>
      <c r="AR16" s="37"/>
      <c r="AS16" s="32"/>
      <c r="AT16" s="56"/>
      <c r="AU16" s="56"/>
      <c r="AV16" s="56"/>
      <c r="AW16" s="56"/>
      <c r="AX16" s="56"/>
      <c r="AY16" s="56"/>
      <c r="AZ16" s="56"/>
    </row>
    <row r="17" spans="1:52" ht="14.45" customHeight="1" x14ac:dyDescent="0.25">
      <c r="A17" s="222"/>
      <c r="B17" s="27" t="s">
        <v>25</v>
      </c>
      <c r="C17" s="112">
        <f t="shared" si="3"/>
        <v>13.330700000000002</v>
      </c>
      <c r="D17" s="113">
        <f t="shared" si="4"/>
        <v>21.276800000000001</v>
      </c>
      <c r="E17" s="113">
        <f t="shared" si="5"/>
        <v>43.42560000000001</v>
      </c>
      <c r="F17" s="114">
        <f t="shared" si="6"/>
        <v>50.401600000000009</v>
      </c>
      <c r="G17" s="108"/>
      <c r="H17" s="115">
        <f t="shared" si="7"/>
        <v>19.805300000000003</v>
      </c>
      <c r="I17" s="116">
        <f t="shared" si="8"/>
        <v>30.530900000000003</v>
      </c>
      <c r="J17" s="116">
        <f t="shared" si="9"/>
        <v>49.845700000000001</v>
      </c>
      <c r="K17" s="117">
        <f t="shared" si="10"/>
        <v>55.753500000000003</v>
      </c>
      <c r="L17" s="8"/>
      <c r="M17" s="12">
        <f t="shared" si="11"/>
        <v>17.601320000000001</v>
      </c>
      <c r="N17" s="13">
        <f t="shared" si="12"/>
        <v>28.080580000000005</v>
      </c>
      <c r="O17" s="13">
        <f t="shared" si="13"/>
        <v>57.324190000000016</v>
      </c>
      <c r="P17" s="14">
        <f t="shared" si="14"/>
        <v>66.532510000000016</v>
      </c>
      <c r="Q17" s="8"/>
      <c r="R17" s="15">
        <f t="shared" si="15"/>
        <v>26.138200000000005</v>
      </c>
      <c r="S17" s="16">
        <f t="shared" si="16"/>
        <v>40.298390000000005</v>
      </c>
      <c r="T17" s="16">
        <f t="shared" si="17"/>
        <v>65.801120000000012</v>
      </c>
      <c r="U17" s="17">
        <f t="shared" si="18"/>
        <v>73.59462000000002</v>
      </c>
      <c r="W17" s="12" t="str">
        <f t="shared" si="19"/>
        <v>N/A</v>
      </c>
      <c r="X17" s="13" t="str">
        <f t="shared" si="20"/>
        <v>N/A</v>
      </c>
      <c r="Y17" s="13" t="str">
        <f t="shared" si="21"/>
        <v>N/A</v>
      </c>
      <c r="Z17" s="14" t="str">
        <f t="shared" si="22"/>
        <v>N/A</v>
      </c>
      <c r="AA17" s="8"/>
      <c r="AB17" s="15" t="str">
        <f t="shared" si="23"/>
        <v>N/A</v>
      </c>
      <c r="AC17" s="16" t="str">
        <f t="shared" si="24"/>
        <v>N/A</v>
      </c>
      <c r="AD17" s="16" t="str">
        <f t="shared" si="25"/>
        <v>N/A</v>
      </c>
      <c r="AE17" s="17" t="str">
        <f t="shared" si="26"/>
        <v>N/A</v>
      </c>
      <c r="AF17" s="88"/>
      <c r="AG17" s="12">
        <f t="shared" si="27"/>
        <v>31.9</v>
      </c>
      <c r="AH17" s="13">
        <f t="shared" si="27"/>
        <v>51</v>
      </c>
      <c r="AI17" s="13">
        <f t="shared" si="27"/>
        <v>104.2</v>
      </c>
      <c r="AJ17" s="114">
        <f t="shared" si="27"/>
        <v>120.8</v>
      </c>
      <c r="AK17" s="108"/>
      <c r="AL17" s="115">
        <f t="shared" si="28"/>
        <v>47.5</v>
      </c>
      <c r="AM17" s="16">
        <f t="shared" si="28"/>
        <v>73.2</v>
      </c>
      <c r="AN17" s="16">
        <f t="shared" si="28"/>
        <v>119.5</v>
      </c>
      <c r="AO17" s="17">
        <f t="shared" si="28"/>
        <v>133.69999999999999</v>
      </c>
      <c r="AP17" s="88"/>
      <c r="AS17" s="32"/>
      <c r="AT17" s="56"/>
      <c r="AU17" s="56"/>
      <c r="AV17" s="56"/>
      <c r="AW17" s="56"/>
      <c r="AX17" s="56"/>
      <c r="AY17" s="56"/>
      <c r="AZ17" s="56"/>
    </row>
    <row r="18" spans="1:52" ht="14.45" customHeight="1" x14ac:dyDescent="0.25">
      <c r="A18" s="222"/>
      <c r="B18" s="27" t="s">
        <v>26</v>
      </c>
      <c r="C18" s="112">
        <f t="shared" si="3"/>
        <v>14.584200000000003</v>
      </c>
      <c r="D18" s="113">
        <f t="shared" si="4"/>
        <v>27.740500000000001</v>
      </c>
      <c r="E18" s="113">
        <f t="shared" si="5"/>
        <v>53.093900000000005</v>
      </c>
      <c r="F18" s="114">
        <f t="shared" si="6"/>
        <v>62.576900000000002</v>
      </c>
      <c r="G18" s="108"/>
      <c r="H18" s="115">
        <f t="shared" si="7"/>
        <v>21.690999999999999</v>
      </c>
      <c r="I18" s="116">
        <f t="shared" si="8"/>
        <v>38.640500000000003</v>
      </c>
      <c r="J18" s="116">
        <f t="shared" si="9"/>
        <v>60.952800000000003</v>
      </c>
      <c r="K18" s="117">
        <f t="shared" si="10"/>
        <v>71.613000000000014</v>
      </c>
      <c r="L18" s="8"/>
      <c r="M18" s="12">
        <f t="shared" si="11"/>
        <v>19.255940000000002</v>
      </c>
      <c r="N18" s="13">
        <f t="shared" si="12"/>
        <v>36.617460000000001</v>
      </c>
      <c r="O18" s="13">
        <f t="shared" si="13"/>
        <v>70.081550000000007</v>
      </c>
      <c r="P18" s="14">
        <f t="shared" si="14"/>
        <v>82.599110000000024</v>
      </c>
      <c r="Q18" s="8"/>
      <c r="R18" s="15">
        <f t="shared" si="15"/>
        <v>28.632120000000004</v>
      </c>
      <c r="S18" s="16">
        <f t="shared" si="16"/>
        <v>51.005460000000006</v>
      </c>
      <c r="T18" s="16">
        <f t="shared" si="17"/>
        <v>80.452900000000014</v>
      </c>
      <c r="U18" s="17">
        <f t="shared" si="18"/>
        <v>94.529160000000005</v>
      </c>
      <c r="W18" s="12" t="str">
        <f t="shared" si="19"/>
        <v>N/A</v>
      </c>
      <c r="X18" s="13" t="str">
        <f t="shared" si="20"/>
        <v>N/A</v>
      </c>
      <c r="Y18" s="13" t="str">
        <f t="shared" si="21"/>
        <v>N/A</v>
      </c>
      <c r="Z18" s="14" t="str">
        <f t="shared" si="22"/>
        <v>N/A</v>
      </c>
      <c r="AA18" s="8"/>
      <c r="AB18" s="15" t="str">
        <f t="shared" si="23"/>
        <v>N/A</v>
      </c>
      <c r="AC18" s="16" t="str">
        <f t="shared" si="24"/>
        <v>N/A</v>
      </c>
      <c r="AD18" s="16" t="str">
        <f t="shared" si="25"/>
        <v>N/A</v>
      </c>
      <c r="AE18" s="17" t="str">
        <f t="shared" si="26"/>
        <v>N/A</v>
      </c>
      <c r="AF18" s="88"/>
      <c r="AG18" s="12">
        <f t="shared" si="27"/>
        <v>34.9</v>
      </c>
      <c r="AH18" s="13">
        <f t="shared" si="27"/>
        <v>66.400000000000006</v>
      </c>
      <c r="AI18" s="13">
        <f t="shared" si="27"/>
        <v>127.4</v>
      </c>
      <c r="AJ18" s="114">
        <f t="shared" si="27"/>
        <v>150</v>
      </c>
      <c r="AK18" s="108"/>
      <c r="AL18" s="115">
        <f t="shared" si="28"/>
        <v>51.9</v>
      </c>
      <c r="AM18" s="16">
        <f t="shared" si="28"/>
        <v>92.6</v>
      </c>
      <c r="AN18" s="16">
        <f t="shared" si="28"/>
        <v>146.19999999999999</v>
      </c>
      <c r="AO18" s="17">
        <f t="shared" si="28"/>
        <v>171.7</v>
      </c>
      <c r="AP18" s="88"/>
      <c r="AS18" s="32"/>
    </row>
    <row r="19" spans="1:52" ht="14.45" customHeight="1" x14ac:dyDescent="0.25">
      <c r="A19" s="222"/>
      <c r="B19" s="27" t="s">
        <v>27</v>
      </c>
      <c r="C19" s="112">
        <f t="shared" si="3"/>
        <v>14.606000000000002</v>
      </c>
      <c r="D19" s="113">
        <f t="shared" si="4"/>
        <v>32.514699999999998</v>
      </c>
      <c r="E19" s="113">
        <f t="shared" si="5"/>
        <v>59.394100000000009</v>
      </c>
      <c r="F19" s="114">
        <f t="shared" si="6"/>
        <v>68.789900000000003</v>
      </c>
      <c r="G19" s="108"/>
      <c r="H19" s="115">
        <f t="shared" si="7"/>
        <v>21.701900000000002</v>
      </c>
      <c r="I19" s="116">
        <f t="shared" si="8"/>
        <v>45.0824</v>
      </c>
      <c r="J19" s="116">
        <f t="shared" si="9"/>
        <v>67.045900000000003</v>
      </c>
      <c r="K19" s="117">
        <f t="shared" si="10"/>
        <v>77.324600000000004</v>
      </c>
      <c r="L19" s="8"/>
      <c r="M19" s="12">
        <f t="shared" si="11"/>
        <v>19.279920000000001</v>
      </c>
      <c r="N19" s="13">
        <f t="shared" si="12"/>
        <v>42.924200000000006</v>
      </c>
      <c r="O19" s="13">
        <f t="shared" si="13"/>
        <v>78.40261000000001</v>
      </c>
      <c r="P19" s="14">
        <f t="shared" si="14"/>
        <v>90.800270000000026</v>
      </c>
      <c r="Q19" s="8"/>
      <c r="R19" s="15">
        <f t="shared" si="15"/>
        <v>28.644110000000005</v>
      </c>
      <c r="S19" s="16">
        <f t="shared" si="16"/>
        <v>59.506370000000018</v>
      </c>
      <c r="T19" s="16">
        <f t="shared" si="17"/>
        <v>88.498190000000008</v>
      </c>
      <c r="U19" s="17">
        <f t="shared" si="18"/>
        <v>102.07087000000001</v>
      </c>
      <c r="W19" s="12" t="str">
        <f t="shared" si="19"/>
        <v>N/A</v>
      </c>
      <c r="X19" s="13" t="str">
        <f t="shared" si="20"/>
        <v>N/A</v>
      </c>
      <c r="Y19" s="13" t="str">
        <f t="shared" si="21"/>
        <v>N/A</v>
      </c>
      <c r="Z19" s="14" t="str">
        <f t="shared" si="22"/>
        <v>N/A</v>
      </c>
      <c r="AA19" s="8"/>
      <c r="AB19" s="15" t="str">
        <f t="shared" si="23"/>
        <v>N/A</v>
      </c>
      <c r="AC19" s="16" t="str">
        <f t="shared" si="24"/>
        <v>N/A</v>
      </c>
      <c r="AD19" s="16" t="str">
        <f t="shared" si="25"/>
        <v>N/A</v>
      </c>
      <c r="AE19" s="17" t="str">
        <f t="shared" si="26"/>
        <v>N/A</v>
      </c>
      <c r="AF19" s="88"/>
      <c r="AG19" s="112">
        <f t="shared" si="27"/>
        <v>34.9</v>
      </c>
      <c r="AH19" s="13">
        <f t="shared" si="27"/>
        <v>77.900000000000006</v>
      </c>
      <c r="AI19" s="13">
        <f t="shared" si="27"/>
        <v>142.4</v>
      </c>
      <c r="AJ19" s="114">
        <f t="shared" si="27"/>
        <v>165</v>
      </c>
      <c r="AK19" s="108"/>
      <c r="AL19" s="115">
        <f t="shared" si="28"/>
        <v>51.9</v>
      </c>
      <c r="AM19" s="16">
        <f t="shared" si="28"/>
        <v>108.1</v>
      </c>
      <c r="AN19" s="16">
        <f t="shared" si="28"/>
        <v>160.80000000000001</v>
      </c>
      <c r="AO19" s="17">
        <f t="shared" si="28"/>
        <v>185.5</v>
      </c>
      <c r="AP19" s="88"/>
      <c r="AS19" s="32"/>
      <c r="AT19" s="59"/>
      <c r="AU19" s="59"/>
      <c r="AV19" s="59"/>
      <c r="AW19" s="59"/>
      <c r="AX19" s="59"/>
      <c r="AY19" s="59"/>
      <c r="AZ19" s="59"/>
    </row>
    <row r="20" spans="1:52" ht="14.45" customHeight="1" thickBot="1" x14ac:dyDescent="0.3">
      <c r="A20" s="223"/>
      <c r="B20" s="27" t="s">
        <v>29</v>
      </c>
      <c r="C20" s="112" t="str">
        <f t="shared" si="3"/>
        <v>N/A</v>
      </c>
      <c r="D20" s="113">
        <f t="shared" si="4"/>
        <v>4.1856</v>
      </c>
      <c r="E20" s="113">
        <f t="shared" si="5"/>
        <v>8.0769000000000002</v>
      </c>
      <c r="F20" s="114">
        <f t="shared" si="6"/>
        <v>10.9</v>
      </c>
      <c r="G20" s="108"/>
      <c r="H20" s="115" t="str">
        <f t="shared" si="7"/>
        <v>N/A</v>
      </c>
      <c r="I20" s="116">
        <f t="shared" si="8"/>
        <v>5.6789000000000005</v>
      </c>
      <c r="J20" s="116">
        <f t="shared" si="9"/>
        <v>8.8290000000000006</v>
      </c>
      <c r="K20" s="117">
        <f t="shared" si="10"/>
        <v>11.793800000000001</v>
      </c>
      <c r="L20" s="8"/>
      <c r="M20" s="12" t="str">
        <f t="shared" si="11"/>
        <v>N/A</v>
      </c>
      <c r="N20" s="13">
        <f t="shared" si="12"/>
        <v>5.5273900000000014</v>
      </c>
      <c r="O20" s="13">
        <f t="shared" si="13"/>
        <v>10.659110000000002</v>
      </c>
      <c r="P20" s="14">
        <f t="shared" si="14"/>
        <v>14.388000000000002</v>
      </c>
      <c r="Q20" s="8"/>
      <c r="R20" s="15" t="str">
        <f t="shared" si="15"/>
        <v>N/A</v>
      </c>
      <c r="S20" s="16">
        <f t="shared" si="16"/>
        <v>7.4937500000000012</v>
      </c>
      <c r="T20" s="16">
        <f t="shared" si="17"/>
        <v>11.654280000000004</v>
      </c>
      <c r="U20" s="17">
        <f t="shared" si="18"/>
        <v>15.563020000000003</v>
      </c>
      <c r="W20" s="12" t="str">
        <f t="shared" si="19"/>
        <v>N/A</v>
      </c>
      <c r="X20" s="13" t="str">
        <f t="shared" si="20"/>
        <v>N/A</v>
      </c>
      <c r="Y20" s="13" t="str">
        <f t="shared" si="21"/>
        <v>N/A</v>
      </c>
      <c r="Z20" s="14" t="str">
        <f t="shared" si="22"/>
        <v>N/A</v>
      </c>
      <c r="AA20" s="8"/>
      <c r="AB20" s="15" t="str">
        <f t="shared" si="23"/>
        <v>N/A</v>
      </c>
      <c r="AC20" s="16" t="str">
        <f t="shared" si="24"/>
        <v>N/A</v>
      </c>
      <c r="AD20" s="16" t="str">
        <f t="shared" si="25"/>
        <v>N/A</v>
      </c>
      <c r="AE20" s="17" t="str">
        <f t="shared" si="26"/>
        <v>N/A</v>
      </c>
      <c r="AF20" s="88"/>
      <c r="AG20" s="112" t="s">
        <v>118</v>
      </c>
      <c r="AH20" s="13">
        <f>ROUNDDOWN(AH12*$C$14,1)</f>
        <v>10</v>
      </c>
      <c r="AI20" s="13">
        <f>ROUNDDOWN(AI12*$C$14,1)</f>
        <v>19.2</v>
      </c>
      <c r="AJ20" s="114">
        <f>ROUNDDOWN(AJ12*$C$14,1)</f>
        <v>26.1</v>
      </c>
      <c r="AK20" s="108"/>
      <c r="AL20" s="115" t="s">
        <v>118</v>
      </c>
      <c r="AM20" s="16">
        <f>ROUNDDOWN(AM12*$C$14,1)</f>
        <v>13.6</v>
      </c>
      <c r="AN20" s="16">
        <f>ROUNDDOWN(AN12*$C$14,1)</f>
        <v>21.1</v>
      </c>
      <c r="AO20" s="17">
        <f>ROUNDDOWN(AO12*$C$14,1)</f>
        <v>28.2</v>
      </c>
      <c r="AP20" s="88"/>
      <c r="AS20" s="32"/>
      <c r="AT20" s="59"/>
      <c r="AU20" s="59"/>
      <c r="AV20" s="59"/>
      <c r="AW20" s="59"/>
      <c r="AX20" s="59"/>
      <c r="AY20" s="59"/>
      <c r="AZ20" s="59"/>
    </row>
    <row r="21" spans="1:52" ht="5.0999999999999996" customHeight="1" thickBot="1" x14ac:dyDescent="0.3"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W21" s="8"/>
      <c r="X21" s="8"/>
      <c r="Y21" s="8"/>
      <c r="Z21" s="8"/>
      <c r="AA21" s="8"/>
      <c r="AB21" s="8"/>
      <c r="AC21" s="8"/>
      <c r="AD21" s="8"/>
      <c r="AE21" s="8"/>
      <c r="AF21" s="89"/>
      <c r="AG21" s="108"/>
      <c r="AH21" s="108"/>
      <c r="AI21" s="108"/>
      <c r="AJ21" s="108"/>
      <c r="AK21" s="108"/>
      <c r="AL21" s="108"/>
      <c r="AM21" s="108"/>
      <c r="AN21" s="108"/>
      <c r="AO21" s="108"/>
      <c r="AP21" s="89"/>
    </row>
    <row r="22" spans="1:52" ht="15.75" thickBot="1" x14ac:dyDescent="0.3">
      <c r="B22" s="28" t="s">
        <v>119</v>
      </c>
      <c r="C22" s="31">
        <v>2.38</v>
      </c>
      <c r="D22" s="28"/>
      <c r="E22" s="28"/>
      <c r="F22" s="28"/>
      <c r="G22" s="28"/>
      <c r="H22" s="31">
        <v>2.38</v>
      </c>
      <c r="I22" s="28"/>
      <c r="J22" s="28"/>
      <c r="K22" s="28"/>
      <c r="L22" s="28"/>
      <c r="M22" s="31">
        <v>2.38</v>
      </c>
      <c r="N22" s="28"/>
      <c r="O22" s="28"/>
      <c r="P22" s="28"/>
      <c r="Q22" s="28"/>
      <c r="R22" s="31">
        <v>2.38</v>
      </c>
      <c r="T22" s="8"/>
      <c r="U22" s="8"/>
      <c r="W22" s="31">
        <v>2.1800000000000002</v>
      </c>
      <c r="X22" s="28"/>
      <c r="Y22" s="28"/>
      <c r="Z22" s="28"/>
      <c r="AA22" s="28"/>
      <c r="AB22" s="31">
        <v>2.1800000000000002</v>
      </c>
      <c r="AD22" s="8"/>
      <c r="AE22" s="8"/>
      <c r="AF22" s="89"/>
      <c r="AG22" s="108"/>
      <c r="AH22" s="108"/>
      <c r="AI22" s="108"/>
      <c r="AJ22" s="108"/>
      <c r="AN22" s="108"/>
      <c r="AO22" s="108"/>
      <c r="AP22" s="89"/>
    </row>
    <row r="23" spans="1:52" ht="14.45" customHeight="1" x14ac:dyDescent="0.25">
      <c r="A23" s="221" t="s">
        <v>121</v>
      </c>
      <c r="B23" s="26" t="s">
        <v>23</v>
      </c>
      <c r="C23" s="105">
        <f t="shared" ref="C23:C28" si="29">IFERROR(C7*C$22,"N/A")</f>
        <v>25.465999999999998</v>
      </c>
      <c r="D23" s="106">
        <f t="shared" ref="D23:D28" si="30">IFERROR(D7*C$22,"N/A")</f>
        <v>31.511199999999999</v>
      </c>
      <c r="E23" s="106">
        <f t="shared" ref="E23:E28" si="31">IFERROR(E7*C$22,"N/A")</f>
        <v>66.09259999999999</v>
      </c>
      <c r="F23" s="107">
        <f t="shared" ref="F23:F28" si="32">IFERROR(F7*C$22,"N/A")</f>
        <v>75.326999999999998</v>
      </c>
      <c r="G23" s="108"/>
      <c r="H23" s="109">
        <f t="shared" ref="H23:H28" si="33">IFERROR(H7*H$22,"N/A")</f>
        <v>37.603999999999999</v>
      </c>
      <c r="I23" s="110">
        <f t="shared" ref="I23:I28" si="34">IFERROR(I7*H$22,"N/A")</f>
        <v>50.289399999999993</v>
      </c>
      <c r="J23" s="110">
        <f t="shared" ref="J23:J28" si="35">IFERROR(J7*H$22,"N/A")</f>
        <v>80.777199999999993</v>
      </c>
      <c r="K23" s="111">
        <f t="shared" ref="K23:K28" si="36">IFERROR(K7*H$22,"N/A")</f>
        <v>88.797799999999995</v>
      </c>
      <c r="L23" s="8"/>
      <c r="M23" s="5">
        <f t="shared" ref="M23:M28" si="37">IFERROR(M7*M$22,"N/A")</f>
        <v>33.615119999999997</v>
      </c>
      <c r="N23" s="6">
        <f t="shared" ref="N23:N28" si="38">IFERROR(N7*M$22,"N/A")</f>
        <v>41.600020000000008</v>
      </c>
      <c r="O23" s="6">
        <f t="shared" ref="O23:O28" si="39">IFERROR(O7*M$22,"N/A")</f>
        <v>87.231759999999994</v>
      </c>
      <c r="P23" s="7">
        <f t="shared" ref="P23:P28" si="40">IFERROR(P7*M$22,"N/A")</f>
        <v>99.431639999999987</v>
      </c>
      <c r="Q23" s="8"/>
      <c r="R23" s="9">
        <f t="shared" ref="R23:R28" si="41">IFERROR(R7*R$22,"N/A")</f>
        <v>49.637280000000004</v>
      </c>
      <c r="S23" s="10">
        <f t="shared" ref="S23:S28" si="42">IFERROR(S7*R$22,"N/A")</f>
        <v>66.392479999999992</v>
      </c>
      <c r="T23" s="10">
        <f t="shared" ref="T23:T28" si="43">IFERROR(T7*R$22,"N/A")</f>
        <v>106.63113999999999</v>
      </c>
      <c r="U23" s="11">
        <f t="shared" ref="U23:U28" si="44">IFERROR(U7*R$22,"N/A")</f>
        <v>117.20786000000001</v>
      </c>
      <c r="W23" s="5" t="str">
        <f t="shared" ref="W23:W28" si="45">IFERROR(W7*W$22,"N/A")</f>
        <v>N/A</v>
      </c>
      <c r="X23" s="6" t="str">
        <f t="shared" ref="X23:X28" si="46">IFERROR(X7*W$22,"N/A")</f>
        <v>N/A</v>
      </c>
      <c r="Y23" s="6" t="str">
        <f t="shared" ref="Y23:Y28" si="47">IFERROR(Y7*W$22,"N/A")</f>
        <v>N/A</v>
      </c>
      <c r="Z23" s="7" t="str">
        <f t="shared" ref="Z23:Z28" si="48">IFERROR(Z7*W$22,"N/A")</f>
        <v>N/A</v>
      </c>
      <c r="AA23" s="8"/>
      <c r="AB23" s="9" t="str">
        <f t="shared" ref="AB23:AB28" si="49">IFERROR(AB7*AB$22,"N/A")</f>
        <v>N/A</v>
      </c>
      <c r="AC23" s="10" t="str">
        <f t="shared" ref="AC23:AC28" si="50">IFERROR(AC7*AB$22,"N/A")</f>
        <v>N/A</v>
      </c>
      <c r="AD23" s="10" t="str">
        <f t="shared" ref="AD23:AD28" si="51">IFERROR(AD7*AB$22,"N/A")</f>
        <v>N/A</v>
      </c>
      <c r="AE23" s="11" t="str">
        <f t="shared" ref="AE23:AE28" si="52">IFERROR(AE7*AB$22,"N/A")</f>
        <v>N/A</v>
      </c>
      <c r="AF23" s="88"/>
      <c r="AG23" s="5">
        <f t="shared" ref="AG23:AJ27" si="53">ROUNDDOWN(AG7*$C$22,1)</f>
        <v>60.9</v>
      </c>
      <c r="AH23" s="6">
        <f t="shared" si="53"/>
        <v>75.400000000000006</v>
      </c>
      <c r="AI23" s="6">
        <f t="shared" si="53"/>
        <v>158.5</v>
      </c>
      <c r="AJ23" s="107">
        <f t="shared" si="53"/>
        <v>180.6</v>
      </c>
      <c r="AK23" s="108"/>
      <c r="AL23" s="109">
        <f t="shared" ref="AL23:AO27" si="54">ROUNDDOWN(AL7*$C$22,1)</f>
        <v>90.2</v>
      </c>
      <c r="AM23" s="10">
        <f t="shared" si="54"/>
        <v>120.6</v>
      </c>
      <c r="AN23" s="10">
        <f t="shared" si="54"/>
        <v>193.7</v>
      </c>
      <c r="AO23" s="11">
        <f t="shared" si="54"/>
        <v>213</v>
      </c>
      <c r="AP23" s="88"/>
    </row>
    <row r="24" spans="1:52" ht="14.45" customHeight="1" x14ac:dyDescent="0.25">
      <c r="A24" s="222"/>
      <c r="B24" s="27" t="s">
        <v>24</v>
      </c>
      <c r="C24" s="112">
        <f t="shared" si="29"/>
        <v>26.6084</v>
      </c>
      <c r="D24" s="113">
        <f t="shared" si="30"/>
        <v>39.841199999999994</v>
      </c>
      <c r="E24" s="113">
        <f t="shared" si="31"/>
        <v>78.587600000000009</v>
      </c>
      <c r="F24" s="114">
        <f t="shared" si="32"/>
        <v>90.106799999999993</v>
      </c>
      <c r="G24" s="108"/>
      <c r="H24" s="115">
        <f t="shared" si="33"/>
        <v>39.365199999999994</v>
      </c>
      <c r="I24" s="116">
        <f t="shared" si="34"/>
        <v>59.714199999999998</v>
      </c>
      <c r="J24" s="116">
        <f t="shared" si="35"/>
        <v>89.440399999999997</v>
      </c>
      <c r="K24" s="117">
        <f t="shared" si="36"/>
        <v>105.791</v>
      </c>
      <c r="L24" s="8"/>
      <c r="M24" s="12">
        <f t="shared" si="37"/>
        <v>35.133560000000003</v>
      </c>
      <c r="N24" s="13">
        <f t="shared" si="38"/>
        <v>52.595619999999997</v>
      </c>
      <c r="O24" s="13">
        <f t="shared" si="39"/>
        <v>103.72516</v>
      </c>
      <c r="P24" s="14">
        <f t="shared" si="40"/>
        <v>118.93574000000001</v>
      </c>
      <c r="Q24" s="8"/>
      <c r="R24" s="15">
        <f t="shared" si="41"/>
        <v>51.967300000000009</v>
      </c>
      <c r="S24" s="16">
        <f t="shared" si="42"/>
        <v>78.827979999999997</v>
      </c>
      <c r="T24" s="16">
        <f t="shared" si="43"/>
        <v>118.07180000000001</v>
      </c>
      <c r="U24" s="17">
        <f t="shared" si="44"/>
        <v>139.64412000000002</v>
      </c>
      <c r="W24" s="12" t="str">
        <f t="shared" si="45"/>
        <v>N/A</v>
      </c>
      <c r="X24" s="13" t="str">
        <f t="shared" si="46"/>
        <v>N/A</v>
      </c>
      <c r="Y24" s="13" t="str">
        <f t="shared" si="47"/>
        <v>N/A</v>
      </c>
      <c r="Z24" s="14" t="str">
        <f t="shared" si="48"/>
        <v>N/A</v>
      </c>
      <c r="AA24" s="8"/>
      <c r="AB24" s="15" t="str">
        <f t="shared" si="49"/>
        <v>N/A</v>
      </c>
      <c r="AC24" s="16" t="str">
        <f t="shared" si="50"/>
        <v>N/A</v>
      </c>
      <c r="AD24" s="16" t="str">
        <f t="shared" si="51"/>
        <v>N/A</v>
      </c>
      <c r="AE24" s="17" t="str">
        <f t="shared" si="52"/>
        <v>N/A</v>
      </c>
      <c r="AF24" s="88"/>
      <c r="AG24" s="12">
        <f t="shared" si="53"/>
        <v>63.7</v>
      </c>
      <c r="AH24" s="13">
        <f t="shared" si="53"/>
        <v>95.4</v>
      </c>
      <c r="AI24" s="13">
        <f t="shared" si="53"/>
        <v>188.4</v>
      </c>
      <c r="AJ24" s="114">
        <f t="shared" si="53"/>
        <v>216.1</v>
      </c>
      <c r="AK24" s="108"/>
      <c r="AL24" s="115">
        <f t="shared" si="54"/>
        <v>94.2</v>
      </c>
      <c r="AM24" s="16">
        <f t="shared" si="54"/>
        <v>143.19999999999999</v>
      </c>
      <c r="AN24" s="16">
        <f t="shared" si="54"/>
        <v>214.4</v>
      </c>
      <c r="AO24" s="17">
        <f t="shared" si="54"/>
        <v>253.7</v>
      </c>
      <c r="AP24" s="88"/>
    </row>
    <row r="25" spans="1:52" ht="14.45" customHeight="1" x14ac:dyDescent="0.25">
      <c r="A25" s="222"/>
      <c r="B25" s="27" t="s">
        <v>25</v>
      </c>
      <c r="C25" s="112">
        <f t="shared" si="29"/>
        <v>29.107399999999998</v>
      </c>
      <c r="D25" s="113">
        <f t="shared" si="30"/>
        <v>46.457599999999999</v>
      </c>
      <c r="E25" s="113">
        <f t="shared" si="31"/>
        <v>94.819200000000009</v>
      </c>
      <c r="F25" s="114">
        <f t="shared" si="32"/>
        <v>110.05119999999999</v>
      </c>
      <c r="G25" s="108"/>
      <c r="H25" s="115">
        <f t="shared" si="33"/>
        <v>43.244600000000005</v>
      </c>
      <c r="I25" s="116">
        <f t="shared" si="34"/>
        <v>66.663799999999995</v>
      </c>
      <c r="J25" s="116">
        <f t="shared" si="35"/>
        <v>108.83739999999999</v>
      </c>
      <c r="K25" s="117">
        <f t="shared" si="36"/>
        <v>121.73699999999999</v>
      </c>
      <c r="L25" s="8"/>
      <c r="M25" s="12">
        <f t="shared" si="37"/>
        <v>38.43224</v>
      </c>
      <c r="N25" s="13">
        <f t="shared" si="38"/>
        <v>61.31356000000001</v>
      </c>
      <c r="O25" s="13">
        <f t="shared" si="39"/>
        <v>125.16658000000001</v>
      </c>
      <c r="P25" s="14">
        <f t="shared" si="40"/>
        <v>145.27282000000002</v>
      </c>
      <c r="Q25" s="8"/>
      <c r="R25" s="15">
        <f t="shared" si="41"/>
        <v>57.072400000000009</v>
      </c>
      <c r="S25" s="16">
        <f t="shared" si="42"/>
        <v>87.990980000000008</v>
      </c>
      <c r="T25" s="16">
        <f t="shared" si="43"/>
        <v>143.67584000000002</v>
      </c>
      <c r="U25" s="17">
        <f t="shared" si="44"/>
        <v>160.69284000000002</v>
      </c>
      <c r="W25" s="12" t="str">
        <f t="shared" si="45"/>
        <v>N/A</v>
      </c>
      <c r="X25" s="13" t="str">
        <f t="shared" si="46"/>
        <v>N/A</v>
      </c>
      <c r="Y25" s="13" t="str">
        <f t="shared" si="47"/>
        <v>N/A</v>
      </c>
      <c r="Z25" s="14" t="str">
        <f t="shared" si="48"/>
        <v>N/A</v>
      </c>
      <c r="AA25" s="8"/>
      <c r="AB25" s="15" t="str">
        <f t="shared" si="49"/>
        <v>N/A</v>
      </c>
      <c r="AC25" s="16" t="str">
        <f t="shared" si="50"/>
        <v>N/A</v>
      </c>
      <c r="AD25" s="16" t="str">
        <f t="shared" si="51"/>
        <v>N/A</v>
      </c>
      <c r="AE25" s="17" t="str">
        <f t="shared" si="52"/>
        <v>N/A</v>
      </c>
      <c r="AF25" s="88"/>
      <c r="AG25" s="12">
        <f t="shared" si="53"/>
        <v>69.7</v>
      </c>
      <c r="AH25" s="13">
        <f t="shared" si="53"/>
        <v>111.3</v>
      </c>
      <c r="AI25" s="13">
        <f t="shared" si="53"/>
        <v>227.5</v>
      </c>
      <c r="AJ25" s="114">
        <f t="shared" si="53"/>
        <v>263.89999999999998</v>
      </c>
      <c r="AK25" s="108"/>
      <c r="AL25" s="115">
        <f t="shared" si="54"/>
        <v>103.7</v>
      </c>
      <c r="AM25" s="16">
        <f t="shared" si="54"/>
        <v>159.9</v>
      </c>
      <c r="AN25" s="16">
        <f t="shared" si="54"/>
        <v>261</v>
      </c>
      <c r="AO25" s="17">
        <f t="shared" si="54"/>
        <v>292</v>
      </c>
      <c r="AP25" s="88"/>
    </row>
    <row r="26" spans="1:52" ht="14.45" customHeight="1" x14ac:dyDescent="0.25">
      <c r="A26" s="222"/>
      <c r="B26" s="27" t="s">
        <v>26</v>
      </c>
      <c r="C26" s="112">
        <f t="shared" si="29"/>
        <v>31.8444</v>
      </c>
      <c r="D26" s="113">
        <f t="shared" si="30"/>
        <v>60.570999999999998</v>
      </c>
      <c r="E26" s="113">
        <f t="shared" si="31"/>
        <v>115.9298</v>
      </c>
      <c r="F26" s="114">
        <f t="shared" si="32"/>
        <v>136.63579999999999</v>
      </c>
      <c r="G26" s="108"/>
      <c r="H26" s="115">
        <f t="shared" si="33"/>
        <v>47.361999999999995</v>
      </c>
      <c r="I26" s="116">
        <f t="shared" si="34"/>
        <v>84.371000000000009</v>
      </c>
      <c r="J26" s="116">
        <f t="shared" si="35"/>
        <v>133.08959999999999</v>
      </c>
      <c r="K26" s="117">
        <f t="shared" si="36"/>
        <v>156.36600000000001</v>
      </c>
      <c r="L26" s="8"/>
      <c r="M26" s="12">
        <f t="shared" si="37"/>
        <v>42.045079999999999</v>
      </c>
      <c r="N26" s="13">
        <f t="shared" si="38"/>
        <v>79.953720000000004</v>
      </c>
      <c r="O26" s="13">
        <f t="shared" si="39"/>
        <v>153.02209999999999</v>
      </c>
      <c r="P26" s="14">
        <f t="shared" si="40"/>
        <v>180.35402000000002</v>
      </c>
      <c r="Q26" s="8"/>
      <c r="R26" s="15">
        <f t="shared" si="41"/>
        <v>62.51784</v>
      </c>
      <c r="S26" s="16">
        <f t="shared" si="42"/>
        <v>111.36972</v>
      </c>
      <c r="T26" s="16">
        <f t="shared" si="43"/>
        <v>175.6678</v>
      </c>
      <c r="U26" s="17">
        <f t="shared" si="44"/>
        <v>206.40312</v>
      </c>
      <c r="W26" s="12" t="str">
        <f t="shared" si="45"/>
        <v>N/A</v>
      </c>
      <c r="X26" s="13" t="str">
        <f t="shared" si="46"/>
        <v>N/A</v>
      </c>
      <c r="Y26" s="13" t="str">
        <f t="shared" si="47"/>
        <v>N/A</v>
      </c>
      <c r="Z26" s="14" t="str">
        <f t="shared" si="48"/>
        <v>N/A</v>
      </c>
      <c r="AA26" s="8"/>
      <c r="AB26" s="15" t="str">
        <f t="shared" si="49"/>
        <v>N/A</v>
      </c>
      <c r="AC26" s="16" t="str">
        <f t="shared" si="50"/>
        <v>N/A</v>
      </c>
      <c r="AD26" s="16" t="str">
        <f t="shared" si="51"/>
        <v>N/A</v>
      </c>
      <c r="AE26" s="17" t="str">
        <f t="shared" si="52"/>
        <v>N/A</v>
      </c>
      <c r="AF26" s="88"/>
      <c r="AG26" s="12">
        <f t="shared" si="53"/>
        <v>76.3</v>
      </c>
      <c r="AH26" s="13">
        <f t="shared" si="53"/>
        <v>145.1</v>
      </c>
      <c r="AI26" s="13">
        <f t="shared" si="53"/>
        <v>278.2</v>
      </c>
      <c r="AJ26" s="114">
        <f t="shared" si="53"/>
        <v>327.7</v>
      </c>
      <c r="AK26" s="108"/>
      <c r="AL26" s="115">
        <f t="shared" si="54"/>
        <v>113.5</v>
      </c>
      <c r="AM26" s="16">
        <f t="shared" si="54"/>
        <v>202.3</v>
      </c>
      <c r="AN26" s="16">
        <f t="shared" si="54"/>
        <v>319.3</v>
      </c>
      <c r="AO26" s="17">
        <f t="shared" si="54"/>
        <v>375</v>
      </c>
      <c r="AP26" s="88"/>
      <c r="AQ26" s="37"/>
      <c r="AR26" s="37"/>
    </row>
    <row r="27" spans="1:52" ht="14.45" customHeight="1" x14ac:dyDescent="0.25">
      <c r="A27" s="222"/>
      <c r="B27" s="27" t="s">
        <v>27</v>
      </c>
      <c r="C27" s="112">
        <f t="shared" si="29"/>
        <v>31.891999999999999</v>
      </c>
      <c r="D27" s="113">
        <f t="shared" si="30"/>
        <v>70.995399999999989</v>
      </c>
      <c r="E27" s="113">
        <f t="shared" si="31"/>
        <v>129.68619999999999</v>
      </c>
      <c r="F27" s="114">
        <f t="shared" si="32"/>
        <v>150.20179999999999</v>
      </c>
      <c r="G27" s="108"/>
      <c r="H27" s="115">
        <f t="shared" si="33"/>
        <v>47.385799999999996</v>
      </c>
      <c r="I27" s="116">
        <f t="shared" si="34"/>
        <v>98.436799999999991</v>
      </c>
      <c r="J27" s="116">
        <f t="shared" si="35"/>
        <v>146.3938</v>
      </c>
      <c r="K27" s="117">
        <f t="shared" si="36"/>
        <v>168.8372</v>
      </c>
      <c r="L27" s="8"/>
      <c r="M27" s="12">
        <f t="shared" si="37"/>
        <v>42.097439999999999</v>
      </c>
      <c r="N27" s="13">
        <f t="shared" si="38"/>
        <v>93.724400000000003</v>
      </c>
      <c r="O27" s="13">
        <f t="shared" si="39"/>
        <v>171.19102000000001</v>
      </c>
      <c r="P27" s="14">
        <f t="shared" si="40"/>
        <v>198.26114000000001</v>
      </c>
      <c r="Q27" s="8"/>
      <c r="R27" s="15">
        <f t="shared" si="41"/>
        <v>62.544020000000003</v>
      </c>
      <c r="S27" s="16">
        <f t="shared" si="42"/>
        <v>129.93134000000001</v>
      </c>
      <c r="T27" s="16">
        <f t="shared" si="43"/>
        <v>193.23457999999999</v>
      </c>
      <c r="U27" s="17">
        <f t="shared" si="44"/>
        <v>222.87034</v>
      </c>
      <c r="W27" s="12" t="str">
        <f t="shared" si="45"/>
        <v>N/A</v>
      </c>
      <c r="X27" s="13" t="str">
        <f t="shared" si="46"/>
        <v>N/A</v>
      </c>
      <c r="Y27" s="13" t="str">
        <f t="shared" si="47"/>
        <v>N/A</v>
      </c>
      <c r="Z27" s="14" t="str">
        <f t="shared" si="48"/>
        <v>N/A</v>
      </c>
      <c r="AA27" s="8"/>
      <c r="AB27" s="15" t="str">
        <f t="shared" si="49"/>
        <v>N/A</v>
      </c>
      <c r="AC27" s="16" t="str">
        <f t="shared" si="50"/>
        <v>N/A</v>
      </c>
      <c r="AD27" s="16" t="str">
        <f t="shared" si="51"/>
        <v>N/A</v>
      </c>
      <c r="AE27" s="17" t="str">
        <f t="shared" si="52"/>
        <v>N/A</v>
      </c>
      <c r="AF27" s="88"/>
      <c r="AG27" s="112">
        <f t="shared" si="53"/>
        <v>76.3</v>
      </c>
      <c r="AH27" s="13">
        <f t="shared" si="53"/>
        <v>170.1</v>
      </c>
      <c r="AI27" s="13">
        <f t="shared" si="53"/>
        <v>311</v>
      </c>
      <c r="AJ27" s="114">
        <f t="shared" si="53"/>
        <v>360.3</v>
      </c>
      <c r="AK27" s="108"/>
      <c r="AL27" s="115">
        <f t="shared" si="54"/>
        <v>113.5</v>
      </c>
      <c r="AM27" s="16">
        <f t="shared" si="54"/>
        <v>236</v>
      </c>
      <c r="AN27" s="16">
        <f t="shared" si="54"/>
        <v>351.2</v>
      </c>
      <c r="AO27" s="17">
        <f t="shared" si="54"/>
        <v>405</v>
      </c>
      <c r="AP27" s="88"/>
    </row>
    <row r="28" spans="1:52" ht="14.45" customHeight="1" thickBot="1" x14ac:dyDescent="0.3">
      <c r="A28" s="223"/>
      <c r="B28" s="27" t="s">
        <v>29</v>
      </c>
      <c r="C28" s="112" t="str">
        <f t="shared" si="29"/>
        <v>N/A</v>
      </c>
      <c r="D28" s="113">
        <f t="shared" si="30"/>
        <v>9.1391999999999989</v>
      </c>
      <c r="E28" s="113">
        <f t="shared" si="31"/>
        <v>17.6358</v>
      </c>
      <c r="F28" s="114">
        <f t="shared" si="32"/>
        <v>23.799999999999997</v>
      </c>
      <c r="G28" s="108"/>
      <c r="H28" s="115" t="str">
        <f t="shared" si="33"/>
        <v>N/A</v>
      </c>
      <c r="I28" s="116">
        <f t="shared" si="34"/>
        <v>12.399799999999999</v>
      </c>
      <c r="J28" s="116">
        <f t="shared" si="35"/>
        <v>19.277999999999999</v>
      </c>
      <c r="K28" s="117">
        <f t="shared" si="36"/>
        <v>25.7516</v>
      </c>
      <c r="L28" s="8"/>
      <c r="M28" s="12" t="str">
        <f t="shared" si="37"/>
        <v>N/A</v>
      </c>
      <c r="N28" s="13">
        <f t="shared" si="38"/>
        <v>12.068980000000002</v>
      </c>
      <c r="O28" s="13">
        <f t="shared" si="39"/>
        <v>23.274020000000004</v>
      </c>
      <c r="P28" s="14">
        <f t="shared" si="40"/>
        <v>31.416</v>
      </c>
      <c r="Q28" s="8"/>
      <c r="R28" s="15" t="str">
        <f t="shared" si="41"/>
        <v>N/A</v>
      </c>
      <c r="S28" s="16">
        <f t="shared" si="42"/>
        <v>16.362500000000001</v>
      </c>
      <c r="T28" s="16">
        <f t="shared" si="43"/>
        <v>25.446960000000004</v>
      </c>
      <c r="U28" s="17">
        <f t="shared" si="44"/>
        <v>33.981640000000006</v>
      </c>
      <c r="W28" s="12" t="str">
        <f t="shared" si="45"/>
        <v>N/A</v>
      </c>
      <c r="X28" s="13" t="str">
        <f t="shared" si="46"/>
        <v>N/A</v>
      </c>
      <c r="Y28" s="13" t="str">
        <f t="shared" si="47"/>
        <v>N/A</v>
      </c>
      <c r="Z28" s="14" t="str">
        <f t="shared" si="48"/>
        <v>N/A</v>
      </c>
      <c r="AA28" s="8"/>
      <c r="AB28" s="15" t="str">
        <f t="shared" si="49"/>
        <v>N/A</v>
      </c>
      <c r="AC28" s="16" t="str">
        <f t="shared" si="50"/>
        <v>N/A</v>
      </c>
      <c r="AD28" s="16" t="str">
        <f t="shared" si="51"/>
        <v>N/A</v>
      </c>
      <c r="AE28" s="17" t="str">
        <f t="shared" si="52"/>
        <v>N/A</v>
      </c>
      <c r="AF28" s="88"/>
      <c r="AG28" s="112" t="s">
        <v>118</v>
      </c>
      <c r="AH28" s="13">
        <f>ROUNDDOWN(AH12*$C$22,1)</f>
        <v>21.8</v>
      </c>
      <c r="AI28" s="13">
        <f>ROUNDDOWN(AI12*$C$22,1)</f>
        <v>42.1</v>
      </c>
      <c r="AJ28" s="114">
        <f>ROUNDDOWN(AJ12*$C$22,1)</f>
        <v>57.1</v>
      </c>
      <c r="AK28" s="108"/>
      <c r="AL28" s="115" t="s">
        <v>118</v>
      </c>
      <c r="AM28" s="16">
        <f>ROUNDDOWN(AM12*$C$22,1)</f>
        <v>29.7</v>
      </c>
      <c r="AN28" s="16">
        <f>ROUNDDOWN(AN12*$C$22,1)</f>
        <v>46.1</v>
      </c>
      <c r="AO28" s="17">
        <f>ROUNDDOWN(AO12*$C$22,1)</f>
        <v>61.6</v>
      </c>
      <c r="AP28" s="88"/>
    </row>
    <row r="29" spans="1:52" ht="5.0999999999999996" customHeight="1" thickBot="1" x14ac:dyDescent="0.3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W29" s="8"/>
      <c r="X29" s="8"/>
      <c r="Y29" s="8"/>
      <c r="Z29" s="8"/>
      <c r="AA29" s="8"/>
      <c r="AB29" s="8"/>
      <c r="AC29" s="8"/>
      <c r="AD29" s="8"/>
      <c r="AE29" s="8"/>
      <c r="AF29" s="89"/>
      <c r="AG29" s="108"/>
      <c r="AH29" s="108"/>
      <c r="AI29" s="108"/>
      <c r="AJ29" s="108"/>
      <c r="AK29" s="108"/>
      <c r="AL29" s="108"/>
      <c r="AM29" s="108"/>
      <c r="AN29" s="108"/>
      <c r="AO29" s="108"/>
      <c r="AP29" s="89"/>
    </row>
    <row r="30" spans="1:52" ht="15.75" thickBot="1" x14ac:dyDescent="0.3">
      <c r="B30" s="28" t="s">
        <v>119</v>
      </c>
      <c r="C30" s="29">
        <v>4.3600000000000003</v>
      </c>
      <c r="D30" s="28"/>
      <c r="E30" s="28"/>
      <c r="F30" s="28"/>
      <c r="G30" s="28"/>
      <c r="H30" s="29">
        <v>4.3600000000000003</v>
      </c>
      <c r="I30" s="28"/>
      <c r="J30" s="28"/>
      <c r="K30" s="28"/>
      <c r="L30" s="28"/>
      <c r="M30" s="29">
        <v>4.3600000000000003</v>
      </c>
      <c r="N30" s="28"/>
      <c r="O30" s="28"/>
      <c r="P30" s="28"/>
      <c r="Q30" s="28"/>
      <c r="R30" s="29">
        <v>4.3600000000000003</v>
      </c>
      <c r="T30" s="8"/>
      <c r="U30" s="8"/>
      <c r="W30" s="29">
        <v>4.3600000000000003</v>
      </c>
      <c r="X30" s="28"/>
      <c r="Y30" s="28"/>
      <c r="Z30" s="28"/>
      <c r="AA30" s="28"/>
      <c r="AB30" s="29">
        <v>4.3600000000000003</v>
      </c>
      <c r="AD30" s="8"/>
      <c r="AE30" s="8"/>
      <c r="AF30" s="89"/>
      <c r="AG30" s="108"/>
      <c r="AH30" s="108"/>
      <c r="AI30" s="108"/>
      <c r="AJ30" s="108"/>
      <c r="AK30" s="108"/>
      <c r="AN30" s="108"/>
      <c r="AO30" s="108"/>
      <c r="AP30" s="89"/>
    </row>
    <row r="31" spans="1:52" ht="14.45" customHeight="1" x14ac:dyDescent="0.25">
      <c r="A31" s="221" t="s">
        <v>122</v>
      </c>
      <c r="B31" s="26" t="s">
        <v>23</v>
      </c>
      <c r="C31" s="105">
        <f t="shared" ref="C31:C36" si="55">IFERROR(C7*C$30,"N/A")</f>
        <v>46.652000000000001</v>
      </c>
      <c r="D31" s="106">
        <f t="shared" ref="D31:D36" si="56">IFERROR(D7*C$30,"N/A")</f>
        <v>57.726400000000005</v>
      </c>
      <c r="E31" s="106">
        <f t="shared" ref="E31:E36" si="57">IFERROR(E7*C$30,"N/A")</f>
        <v>121.0772</v>
      </c>
      <c r="F31" s="107">
        <f t="shared" ref="F31:F36" si="58">IFERROR(F7*C$30,"N/A")</f>
        <v>137.994</v>
      </c>
      <c r="G31" s="108"/>
      <c r="H31" s="109">
        <f t="shared" ref="H31:H36" si="59">IFERROR(H7*H$30,"N/A")</f>
        <v>68.888000000000005</v>
      </c>
      <c r="I31" s="110">
        <f t="shared" ref="I31:I36" si="60">IFERROR(I7*H$30,"N/A")</f>
        <v>92.126800000000003</v>
      </c>
      <c r="J31" s="110">
        <f t="shared" ref="J31:J36" si="61">IFERROR(J7*H$30,"N/A")</f>
        <v>147.97839999999999</v>
      </c>
      <c r="K31" s="111">
        <f t="shared" ref="K31:K36" si="62">IFERROR(K7*H$30,"N/A")</f>
        <v>162.67160000000001</v>
      </c>
      <c r="L31" s="8"/>
      <c r="M31" s="5">
        <f t="shared" ref="M31:M36" si="63">IFERROR(M7*M$30,"N/A")</f>
        <v>61.58064000000001</v>
      </c>
      <c r="N31" s="6">
        <f t="shared" ref="N31:N36" si="64">IFERROR(N7*M$30,"N/A")</f>
        <v>76.208440000000024</v>
      </c>
      <c r="O31" s="6">
        <f t="shared" ref="O31:O36" si="65">IFERROR(O7*M$30,"N/A")</f>
        <v>159.80272000000002</v>
      </c>
      <c r="P31" s="7">
        <f t="shared" ref="P31:P36" si="66">IFERROR(P7*M$30,"N/A")</f>
        <v>182.15208000000001</v>
      </c>
      <c r="Q31" s="8"/>
      <c r="R31" s="9">
        <f t="shared" ref="R31:R36" si="67">IFERROR(R7*R$30,"N/A")</f>
        <v>90.93216000000001</v>
      </c>
      <c r="S31" s="10">
        <f t="shared" ref="S31:S36" si="68">IFERROR(S7*R$30,"N/A")</f>
        <v>121.62656000000001</v>
      </c>
      <c r="T31" s="10">
        <f t="shared" ref="T31:T36" si="69">IFERROR(T7*R$30,"N/A")</f>
        <v>195.34108000000001</v>
      </c>
      <c r="U31" s="11">
        <f t="shared" ref="U31:U36" si="70">IFERROR(U7*R$30,"N/A")</f>
        <v>214.71692000000004</v>
      </c>
      <c r="W31" s="5" t="str">
        <f t="shared" ref="W31:W36" si="71">IFERROR(W7*W$30,"N/A")</f>
        <v>N/A</v>
      </c>
      <c r="X31" s="6" t="str">
        <f t="shared" ref="X31:X36" si="72">IFERROR(X7*W$30,"N/A")</f>
        <v>N/A</v>
      </c>
      <c r="Y31" s="6" t="str">
        <f t="shared" ref="Y31:Y36" si="73">IFERROR(Y7*W$30,"N/A")</f>
        <v>N/A</v>
      </c>
      <c r="Z31" s="7" t="str">
        <f t="shared" ref="Z31:Z36" si="74">IFERROR(Z7*W$30,"N/A")</f>
        <v>N/A</v>
      </c>
      <c r="AA31" s="8"/>
      <c r="AB31" s="9" t="str">
        <f t="shared" ref="AB31:AB36" si="75">IFERROR(AB7*AB$30,"N/A")</f>
        <v>N/A</v>
      </c>
      <c r="AC31" s="10" t="str">
        <f t="shared" ref="AC31:AC36" si="76">IFERROR(AC7*AB$30,"N/A")</f>
        <v>N/A</v>
      </c>
      <c r="AD31" s="10" t="str">
        <f t="shared" ref="AD31:AD36" si="77">IFERROR(AD7*AB$30,"N/A")</f>
        <v>N/A</v>
      </c>
      <c r="AE31" s="11" t="str">
        <f t="shared" ref="AE31:AE36" si="78">IFERROR(AE7*AB$30,"N/A")</f>
        <v>N/A</v>
      </c>
      <c r="AF31" s="88"/>
      <c r="AG31" s="5">
        <f t="shared" ref="AG31:AJ35" si="79">ROUNDDOWN(AG7*$C$30,1)</f>
        <v>111.6</v>
      </c>
      <c r="AH31" s="6">
        <f t="shared" si="79"/>
        <v>138.19999999999999</v>
      </c>
      <c r="AI31" s="6">
        <f t="shared" si="79"/>
        <v>290.3</v>
      </c>
      <c r="AJ31" s="107">
        <f t="shared" si="79"/>
        <v>330.9</v>
      </c>
      <c r="AK31" s="108"/>
      <c r="AL31" s="109">
        <f t="shared" ref="AL31:AO35" si="80">ROUNDDOWN(AL7*$C$30,1)</f>
        <v>165.2</v>
      </c>
      <c r="AM31" s="10">
        <f t="shared" si="80"/>
        <v>221</v>
      </c>
      <c r="AN31" s="10">
        <f t="shared" si="80"/>
        <v>354.9</v>
      </c>
      <c r="AO31" s="11">
        <f t="shared" si="80"/>
        <v>390.2</v>
      </c>
      <c r="AP31" s="88"/>
    </row>
    <row r="32" spans="1:52" ht="14.45" customHeight="1" x14ac:dyDescent="0.25">
      <c r="A32" s="222"/>
      <c r="B32" s="27" t="s">
        <v>24</v>
      </c>
      <c r="C32" s="112">
        <f t="shared" si="55"/>
        <v>48.744800000000005</v>
      </c>
      <c r="D32" s="113">
        <f t="shared" si="56"/>
        <v>72.986400000000003</v>
      </c>
      <c r="E32" s="113">
        <f t="shared" si="57"/>
        <v>143.96720000000002</v>
      </c>
      <c r="F32" s="114">
        <f t="shared" si="58"/>
        <v>165.06960000000001</v>
      </c>
      <c r="G32" s="108"/>
      <c r="H32" s="115">
        <f t="shared" si="59"/>
        <v>72.114400000000003</v>
      </c>
      <c r="I32" s="116">
        <f t="shared" si="60"/>
        <v>109.39240000000001</v>
      </c>
      <c r="J32" s="116">
        <f t="shared" si="61"/>
        <v>163.84880000000001</v>
      </c>
      <c r="K32" s="117">
        <f t="shared" si="62"/>
        <v>193.80200000000002</v>
      </c>
      <c r="L32" s="8"/>
      <c r="M32" s="12">
        <f t="shared" si="63"/>
        <v>64.362320000000011</v>
      </c>
      <c r="N32" s="13">
        <f t="shared" si="64"/>
        <v>96.351640000000003</v>
      </c>
      <c r="O32" s="13">
        <f t="shared" si="65"/>
        <v>190.01752000000002</v>
      </c>
      <c r="P32" s="14">
        <f t="shared" si="66"/>
        <v>217.88228000000004</v>
      </c>
      <c r="Q32" s="8"/>
      <c r="R32" s="15">
        <f t="shared" si="67"/>
        <v>95.200600000000023</v>
      </c>
      <c r="S32" s="16">
        <f t="shared" si="68"/>
        <v>144.40756000000002</v>
      </c>
      <c r="T32" s="16">
        <f t="shared" si="69"/>
        <v>216.29960000000005</v>
      </c>
      <c r="U32" s="17">
        <f t="shared" si="70"/>
        <v>255.81864000000004</v>
      </c>
      <c r="W32" s="12" t="str">
        <f t="shared" si="71"/>
        <v>N/A</v>
      </c>
      <c r="X32" s="13" t="str">
        <f t="shared" si="72"/>
        <v>N/A</v>
      </c>
      <c r="Y32" s="13" t="str">
        <f t="shared" si="73"/>
        <v>N/A</v>
      </c>
      <c r="Z32" s="14" t="str">
        <f t="shared" si="74"/>
        <v>N/A</v>
      </c>
      <c r="AA32" s="8"/>
      <c r="AB32" s="15" t="str">
        <f t="shared" si="75"/>
        <v>N/A</v>
      </c>
      <c r="AC32" s="16" t="str">
        <f t="shared" si="76"/>
        <v>N/A</v>
      </c>
      <c r="AD32" s="16" t="str">
        <f t="shared" si="77"/>
        <v>N/A</v>
      </c>
      <c r="AE32" s="17" t="str">
        <f t="shared" si="78"/>
        <v>N/A</v>
      </c>
      <c r="AF32" s="88"/>
      <c r="AG32" s="12">
        <f t="shared" si="79"/>
        <v>116.8</v>
      </c>
      <c r="AH32" s="13">
        <f t="shared" si="79"/>
        <v>174.8</v>
      </c>
      <c r="AI32" s="13">
        <f t="shared" si="79"/>
        <v>345.3</v>
      </c>
      <c r="AJ32" s="114">
        <f t="shared" si="79"/>
        <v>395.8</v>
      </c>
      <c r="AK32" s="108"/>
      <c r="AL32" s="115">
        <f t="shared" si="80"/>
        <v>172.6</v>
      </c>
      <c r="AM32" s="16">
        <f t="shared" si="80"/>
        <v>262.39999999999998</v>
      </c>
      <c r="AN32" s="16">
        <f t="shared" si="80"/>
        <v>392.8</v>
      </c>
      <c r="AO32" s="17">
        <f t="shared" si="80"/>
        <v>464.7</v>
      </c>
      <c r="AP32" s="88"/>
    </row>
    <row r="33" spans="1:42" ht="14.45" customHeight="1" x14ac:dyDescent="0.25">
      <c r="A33" s="222"/>
      <c r="B33" s="27" t="s">
        <v>25</v>
      </c>
      <c r="C33" s="112">
        <f t="shared" si="55"/>
        <v>53.322800000000008</v>
      </c>
      <c r="D33" s="113">
        <f t="shared" si="56"/>
        <v>85.107200000000006</v>
      </c>
      <c r="E33" s="113">
        <f t="shared" si="57"/>
        <v>173.70240000000004</v>
      </c>
      <c r="F33" s="114">
        <f t="shared" si="58"/>
        <v>201.60640000000004</v>
      </c>
      <c r="G33" s="108"/>
      <c r="H33" s="115">
        <f t="shared" si="59"/>
        <v>79.22120000000001</v>
      </c>
      <c r="I33" s="116">
        <f t="shared" si="60"/>
        <v>122.12360000000001</v>
      </c>
      <c r="J33" s="116">
        <f t="shared" si="61"/>
        <v>199.3828</v>
      </c>
      <c r="K33" s="117">
        <f t="shared" si="62"/>
        <v>223.01400000000001</v>
      </c>
      <c r="L33" s="8"/>
      <c r="M33" s="12">
        <f t="shared" si="63"/>
        <v>70.405280000000005</v>
      </c>
      <c r="N33" s="13">
        <f t="shared" si="64"/>
        <v>112.32232000000002</v>
      </c>
      <c r="O33" s="13">
        <f t="shared" si="65"/>
        <v>229.29676000000006</v>
      </c>
      <c r="P33" s="14">
        <f t="shared" si="66"/>
        <v>266.13004000000006</v>
      </c>
      <c r="Q33" s="8"/>
      <c r="R33" s="15">
        <f t="shared" si="67"/>
        <v>104.55280000000002</v>
      </c>
      <c r="S33" s="16">
        <f t="shared" si="68"/>
        <v>161.19356000000002</v>
      </c>
      <c r="T33" s="16">
        <f t="shared" si="69"/>
        <v>263.20448000000005</v>
      </c>
      <c r="U33" s="17">
        <f t="shared" si="70"/>
        <v>294.37848000000008</v>
      </c>
      <c r="W33" s="12" t="str">
        <f t="shared" si="71"/>
        <v>N/A</v>
      </c>
      <c r="X33" s="13" t="str">
        <f t="shared" si="72"/>
        <v>N/A</v>
      </c>
      <c r="Y33" s="13" t="str">
        <f t="shared" si="73"/>
        <v>N/A</v>
      </c>
      <c r="Z33" s="14" t="str">
        <f t="shared" si="74"/>
        <v>N/A</v>
      </c>
      <c r="AA33" s="8"/>
      <c r="AB33" s="15" t="str">
        <f t="shared" si="75"/>
        <v>N/A</v>
      </c>
      <c r="AC33" s="16" t="str">
        <f t="shared" si="76"/>
        <v>N/A</v>
      </c>
      <c r="AD33" s="16" t="str">
        <f t="shared" si="77"/>
        <v>N/A</v>
      </c>
      <c r="AE33" s="17" t="str">
        <f t="shared" si="78"/>
        <v>N/A</v>
      </c>
      <c r="AF33" s="88"/>
      <c r="AG33" s="12">
        <f t="shared" si="79"/>
        <v>127.7</v>
      </c>
      <c r="AH33" s="13">
        <f t="shared" si="79"/>
        <v>204</v>
      </c>
      <c r="AI33" s="13">
        <f t="shared" si="79"/>
        <v>416.8</v>
      </c>
      <c r="AJ33" s="114">
        <f t="shared" si="79"/>
        <v>483.5</v>
      </c>
      <c r="AK33" s="108"/>
      <c r="AL33" s="115">
        <f t="shared" si="80"/>
        <v>190</v>
      </c>
      <c r="AM33" s="16">
        <f t="shared" si="80"/>
        <v>292.89999999999998</v>
      </c>
      <c r="AN33" s="16">
        <f t="shared" si="80"/>
        <v>478.2</v>
      </c>
      <c r="AO33" s="17">
        <f t="shared" si="80"/>
        <v>534.9</v>
      </c>
      <c r="AP33" s="88"/>
    </row>
    <row r="34" spans="1:42" ht="14.45" customHeight="1" x14ac:dyDescent="0.25">
      <c r="A34" s="222"/>
      <c r="B34" s="27" t="s">
        <v>26</v>
      </c>
      <c r="C34" s="112">
        <f t="shared" si="55"/>
        <v>58.336800000000011</v>
      </c>
      <c r="D34" s="113">
        <f t="shared" si="56"/>
        <v>110.962</v>
      </c>
      <c r="E34" s="113">
        <f t="shared" si="57"/>
        <v>212.37560000000002</v>
      </c>
      <c r="F34" s="114">
        <f t="shared" si="58"/>
        <v>250.30760000000001</v>
      </c>
      <c r="G34" s="108"/>
      <c r="H34" s="115">
        <f t="shared" si="59"/>
        <v>86.763999999999996</v>
      </c>
      <c r="I34" s="116">
        <f t="shared" si="60"/>
        <v>154.56200000000001</v>
      </c>
      <c r="J34" s="116">
        <f t="shared" si="61"/>
        <v>243.81120000000001</v>
      </c>
      <c r="K34" s="117">
        <f t="shared" si="62"/>
        <v>286.45200000000006</v>
      </c>
      <c r="L34" s="8"/>
      <c r="M34" s="12">
        <f t="shared" si="63"/>
        <v>77.02376000000001</v>
      </c>
      <c r="N34" s="13">
        <f t="shared" si="64"/>
        <v>146.46984</v>
      </c>
      <c r="O34" s="13">
        <f t="shared" si="65"/>
        <v>280.32620000000003</v>
      </c>
      <c r="P34" s="14">
        <f t="shared" si="66"/>
        <v>330.3964400000001</v>
      </c>
      <c r="Q34" s="8"/>
      <c r="R34" s="15">
        <f t="shared" si="67"/>
        <v>114.52848000000002</v>
      </c>
      <c r="S34" s="16">
        <f t="shared" si="68"/>
        <v>204.02184000000003</v>
      </c>
      <c r="T34" s="16">
        <f t="shared" si="69"/>
        <v>321.81160000000006</v>
      </c>
      <c r="U34" s="17">
        <f t="shared" si="70"/>
        <v>378.11664000000002</v>
      </c>
      <c r="W34" s="12" t="str">
        <f t="shared" si="71"/>
        <v>N/A</v>
      </c>
      <c r="X34" s="13" t="str">
        <f t="shared" si="72"/>
        <v>N/A</v>
      </c>
      <c r="Y34" s="13" t="str">
        <f t="shared" si="73"/>
        <v>N/A</v>
      </c>
      <c r="Z34" s="14" t="str">
        <f t="shared" si="74"/>
        <v>N/A</v>
      </c>
      <c r="AA34" s="8"/>
      <c r="AB34" s="15" t="str">
        <f t="shared" si="75"/>
        <v>N/A</v>
      </c>
      <c r="AC34" s="16" t="str">
        <f t="shared" si="76"/>
        <v>N/A</v>
      </c>
      <c r="AD34" s="16" t="str">
        <f t="shared" si="77"/>
        <v>N/A</v>
      </c>
      <c r="AE34" s="17" t="str">
        <f t="shared" si="78"/>
        <v>N/A</v>
      </c>
      <c r="AF34" s="88"/>
      <c r="AG34" s="12">
        <f t="shared" si="79"/>
        <v>139.9</v>
      </c>
      <c r="AH34" s="13">
        <f t="shared" si="79"/>
        <v>265.89999999999998</v>
      </c>
      <c r="AI34" s="13">
        <f t="shared" si="79"/>
        <v>509.6</v>
      </c>
      <c r="AJ34" s="114">
        <f t="shared" si="79"/>
        <v>600.29999999999995</v>
      </c>
      <c r="AK34" s="108"/>
      <c r="AL34" s="115">
        <f t="shared" si="80"/>
        <v>207.9</v>
      </c>
      <c r="AM34" s="16">
        <f t="shared" si="80"/>
        <v>370.6</v>
      </c>
      <c r="AN34" s="16">
        <f t="shared" si="80"/>
        <v>585.1</v>
      </c>
      <c r="AO34" s="17">
        <f t="shared" si="80"/>
        <v>687.1</v>
      </c>
      <c r="AP34" s="88"/>
    </row>
    <row r="35" spans="1:42" ht="14.45" customHeight="1" x14ac:dyDescent="0.25">
      <c r="A35" s="222"/>
      <c r="B35" s="27" t="s">
        <v>27</v>
      </c>
      <c r="C35" s="112">
        <f t="shared" si="55"/>
        <v>58.424000000000007</v>
      </c>
      <c r="D35" s="113">
        <f t="shared" si="56"/>
        <v>130.05879999999999</v>
      </c>
      <c r="E35" s="113">
        <f t="shared" si="57"/>
        <v>237.57640000000004</v>
      </c>
      <c r="F35" s="114">
        <f t="shared" si="58"/>
        <v>275.15960000000001</v>
      </c>
      <c r="G35" s="108"/>
      <c r="H35" s="115">
        <f t="shared" si="59"/>
        <v>86.807600000000008</v>
      </c>
      <c r="I35" s="116">
        <f t="shared" si="60"/>
        <v>180.3296</v>
      </c>
      <c r="J35" s="116">
        <f t="shared" si="61"/>
        <v>268.18360000000001</v>
      </c>
      <c r="K35" s="117">
        <f t="shared" si="62"/>
        <v>309.29840000000002</v>
      </c>
      <c r="L35" s="8"/>
      <c r="M35" s="12">
        <f t="shared" si="63"/>
        <v>77.119680000000002</v>
      </c>
      <c r="N35" s="13">
        <f t="shared" si="64"/>
        <v>171.69680000000002</v>
      </c>
      <c r="O35" s="13">
        <f t="shared" si="65"/>
        <v>313.61044000000004</v>
      </c>
      <c r="P35" s="14">
        <f t="shared" si="66"/>
        <v>363.2010800000001</v>
      </c>
      <c r="Q35" s="8"/>
      <c r="R35" s="15">
        <f t="shared" si="67"/>
        <v>114.57644000000002</v>
      </c>
      <c r="S35" s="16">
        <f t="shared" si="68"/>
        <v>238.02548000000007</v>
      </c>
      <c r="T35" s="16">
        <f t="shared" si="69"/>
        <v>353.99276000000003</v>
      </c>
      <c r="U35" s="17">
        <f t="shared" si="70"/>
        <v>408.28348000000005</v>
      </c>
      <c r="W35" s="12" t="str">
        <f t="shared" si="71"/>
        <v>N/A</v>
      </c>
      <c r="X35" s="13" t="str">
        <f t="shared" si="72"/>
        <v>N/A</v>
      </c>
      <c r="Y35" s="13" t="str">
        <f t="shared" si="73"/>
        <v>N/A</v>
      </c>
      <c r="Z35" s="14" t="str">
        <f t="shared" si="74"/>
        <v>N/A</v>
      </c>
      <c r="AA35" s="8"/>
      <c r="AB35" s="15" t="str">
        <f t="shared" si="75"/>
        <v>N/A</v>
      </c>
      <c r="AC35" s="16" t="str">
        <f t="shared" si="76"/>
        <v>N/A</v>
      </c>
      <c r="AD35" s="16" t="str">
        <f t="shared" si="77"/>
        <v>N/A</v>
      </c>
      <c r="AE35" s="17" t="str">
        <f t="shared" si="78"/>
        <v>N/A</v>
      </c>
      <c r="AF35" s="88"/>
      <c r="AG35" s="112">
        <f t="shared" si="79"/>
        <v>139.9</v>
      </c>
      <c r="AH35" s="13">
        <f t="shared" si="79"/>
        <v>311.7</v>
      </c>
      <c r="AI35" s="13">
        <f t="shared" si="79"/>
        <v>569.79999999999995</v>
      </c>
      <c r="AJ35" s="114">
        <f t="shared" si="79"/>
        <v>660.1</v>
      </c>
      <c r="AK35" s="108"/>
      <c r="AL35" s="115">
        <f t="shared" si="80"/>
        <v>207.9</v>
      </c>
      <c r="AM35" s="16">
        <f t="shared" si="80"/>
        <v>432.5</v>
      </c>
      <c r="AN35" s="16">
        <f t="shared" si="80"/>
        <v>643.5</v>
      </c>
      <c r="AO35" s="17">
        <f t="shared" si="80"/>
        <v>742</v>
      </c>
      <c r="AP35" s="88"/>
    </row>
    <row r="36" spans="1:42" ht="14.45" customHeight="1" thickBot="1" x14ac:dyDescent="0.3">
      <c r="A36" s="223"/>
      <c r="B36" s="27" t="s">
        <v>29</v>
      </c>
      <c r="C36" s="112" t="str">
        <f t="shared" si="55"/>
        <v>N/A</v>
      </c>
      <c r="D36" s="113">
        <f t="shared" si="56"/>
        <v>16.7424</v>
      </c>
      <c r="E36" s="113">
        <f t="shared" si="57"/>
        <v>32.307600000000001</v>
      </c>
      <c r="F36" s="114">
        <f t="shared" si="58"/>
        <v>43.6</v>
      </c>
      <c r="G36" s="108"/>
      <c r="H36" s="115" t="str">
        <f t="shared" si="59"/>
        <v>N/A</v>
      </c>
      <c r="I36" s="116">
        <f t="shared" si="60"/>
        <v>22.715600000000002</v>
      </c>
      <c r="J36" s="116">
        <f t="shared" si="61"/>
        <v>35.316000000000003</v>
      </c>
      <c r="K36" s="117">
        <f t="shared" si="62"/>
        <v>47.175200000000004</v>
      </c>
      <c r="L36" s="8"/>
      <c r="M36" s="12" t="str">
        <f t="shared" si="63"/>
        <v>N/A</v>
      </c>
      <c r="N36" s="13">
        <f t="shared" si="64"/>
        <v>22.109560000000005</v>
      </c>
      <c r="O36" s="13">
        <f t="shared" si="65"/>
        <v>42.636440000000007</v>
      </c>
      <c r="P36" s="14">
        <f t="shared" si="66"/>
        <v>57.552000000000007</v>
      </c>
      <c r="Q36" s="8"/>
      <c r="R36" s="15" t="str">
        <f t="shared" si="67"/>
        <v>N/A</v>
      </c>
      <c r="S36" s="16">
        <f t="shared" si="68"/>
        <v>29.975000000000005</v>
      </c>
      <c r="T36" s="16">
        <f t="shared" si="69"/>
        <v>46.617120000000014</v>
      </c>
      <c r="U36" s="17">
        <f t="shared" si="70"/>
        <v>62.252080000000014</v>
      </c>
      <c r="W36" s="12" t="str">
        <f t="shared" si="71"/>
        <v>N/A</v>
      </c>
      <c r="X36" s="13" t="str">
        <f t="shared" si="72"/>
        <v>N/A</v>
      </c>
      <c r="Y36" s="13" t="str">
        <f t="shared" si="73"/>
        <v>N/A</v>
      </c>
      <c r="Z36" s="14" t="str">
        <f t="shared" si="74"/>
        <v>N/A</v>
      </c>
      <c r="AA36" s="8"/>
      <c r="AB36" s="15" t="str">
        <f t="shared" si="75"/>
        <v>N/A</v>
      </c>
      <c r="AC36" s="16" t="str">
        <f t="shared" si="76"/>
        <v>N/A</v>
      </c>
      <c r="AD36" s="16" t="str">
        <f t="shared" si="77"/>
        <v>N/A</v>
      </c>
      <c r="AE36" s="17" t="str">
        <f t="shared" si="78"/>
        <v>N/A</v>
      </c>
      <c r="AF36" s="88"/>
      <c r="AG36" s="112" t="s">
        <v>118</v>
      </c>
      <c r="AH36" s="13">
        <f>ROUNDDOWN(AH12*$C$30,1)</f>
        <v>40.1</v>
      </c>
      <c r="AI36" s="13">
        <f>ROUNDDOWN(AI12*$C$30,1)</f>
        <v>77.099999999999994</v>
      </c>
      <c r="AJ36" s="114">
        <f>ROUNDDOWN(AJ12*$C$30,1)</f>
        <v>104.6</v>
      </c>
      <c r="AK36" s="108"/>
      <c r="AL36" s="115" t="s">
        <v>118</v>
      </c>
      <c r="AM36" s="16">
        <f>ROUNDDOWN(AM12*$C$30,1)</f>
        <v>54.5</v>
      </c>
      <c r="AN36" s="16">
        <f>ROUNDDOWN(AN12*$C$30,1)</f>
        <v>84.5</v>
      </c>
      <c r="AO36" s="17">
        <f>ROUNDDOWN(AO12*$C$30,1)</f>
        <v>112.9</v>
      </c>
      <c r="AP36" s="88"/>
    </row>
    <row r="37" spans="1:42" ht="5.0999999999999996" customHeight="1" thickBot="1" x14ac:dyDescent="0.3"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W37" s="8"/>
      <c r="X37" s="8"/>
      <c r="Y37" s="8"/>
      <c r="Z37" s="8"/>
      <c r="AA37" s="8"/>
      <c r="AB37" s="8"/>
      <c r="AC37" s="8"/>
      <c r="AD37" s="8"/>
      <c r="AE37" s="8"/>
      <c r="AF37" s="89"/>
      <c r="AG37" s="108"/>
      <c r="AH37" s="108"/>
      <c r="AI37" s="108"/>
      <c r="AJ37" s="108"/>
      <c r="AK37" s="108"/>
      <c r="AL37" s="108"/>
      <c r="AM37" s="108"/>
      <c r="AN37" s="108"/>
      <c r="AO37" s="108"/>
      <c r="AP37" s="89"/>
    </row>
    <row r="38" spans="1:42" ht="15.75" thickBot="1" x14ac:dyDescent="0.3">
      <c r="B38" s="28" t="s">
        <v>119</v>
      </c>
      <c r="C38" s="29">
        <v>6.54</v>
      </c>
      <c r="D38" s="28"/>
      <c r="E38" s="28"/>
      <c r="F38" s="28"/>
      <c r="G38" s="28"/>
      <c r="H38" s="29">
        <v>6.54</v>
      </c>
      <c r="I38" s="28"/>
      <c r="J38" s="28"/>
      <c r="K38" s="28"/>
      <c r="L38" s="28"/>
      <c r="M38" s="29">
        <v>6.54</v>
      </c>
      <c r="N38" s="28"/>
      <c r="O38" s="28"/>
      <c r="P38" s="28"/>
      <c r="Q38" s="28"/>
      <c r="R38" s="29">
        <v>6.54</v>
      </c>
      <c r="T38" s="8"/>
      <c r="U38" s="8"/>
      <c r="W38" s="29">
        <v>6.54</v>
      </c>
      <c r="X38" s="28"/>
      <c r="Y38" s="28"/>
      <c r="Z38" s="28"/>
      <c r="AA38" s="28"/>
      <c r="AB38" s="29">
        <v>6.54</v>
      </c>
      <c r="AD38" s="8"/>
      <c r="AE38" s="8"/>
      <c r="AF38" s="89"/>
      <c r="AG38" s="108"/>
      <c r="AH38" s="108"/>
      <c r="AI38" s="108"/>
      <c r="AJ38" s="108"/>
      <c r="AK38" s="108"/>
      <c r="AN38" s="108"/>
      <c r="AO38" s="108"/>
      <c r="AP38" s="89"/>
    </row>
    <row r="39" spans="1:42" ht="14.45" customHeight="1" x14ac:dyDescent="0.25">
      <c r="A39" s="221" t="s">
        <v>123</v>
      </c>
      <c r="B39" s="26" t="s">
        <v>23</v>
      </c>
      <c r="C39" s="105">
        <f>IFERROR(C7*C$38,"N/A")</f>
        <v>69.977999999999994</v>
      </c>
      <c r="D39" s="106">
        <f>IFERROR(D7*C$38,"N/A")</f>
        <v>86.589600000000004</v>
      </c>
      <c r="E39" s="106">
        <f>IFERROR(E7*C$38,"N/A")</f>
        <v>181.61580000000001</v>
      </c>
      <c r="F39" s="107" t="s">
        <v>118</v>
      </c>
      <c r="G39" s="108"/>
      <c r="H39" s="109">
        <f>IFERROR(H7*H$38,"N/A")</f>
        <v>103.33200000000001</v>
      </c>
      <c r="I39" s="110">
        <f>IFERROR(I7*H$38,"N/A")</f>
        <v>138.1902</v>
      </c>
      <c r="J39" s="110">
        <f>IFERROR(J7*H$38,"N/A")</f>
        <v>221.96759999999998</v>
      </c>
      <c r="K39" s="111" t="s">
        <v>118</v>
      </c>
      <c r="L39" s="8"/>
      <c r="M39" s="5">
        <f>IFERROR(M7*M$38,"N/A")</f>
        <v>92.370960000000011</v>
      </c>
      <c r="N39" s="6">
        <f>IFERROR(N7*M$38,"N/A")</f>
        <v>114.31266000000002</v>
      </c>
      <c r="O39" s="6">
        <f>IFERROR(O7*M$38,"N/A")</f>
        <v>239.70408</v>
      </c>
      <c r="P39" s="7" t="s">
        <v>118</v>
      </c>
      <c r="Q39" s="8"/>
      <c r="R39" s="9">
        <f>IFERROR(R7*R$38,"N/A")</f>
        <v>136.39824000000002</v>
      </c>
      <c r="S39" s="10">
        <f>IFERROR(S7*R$38,"N/A")</f>
        <v>182.43984</v>
      </c>
      <c r="T39" s="10">
        <f>IFERROR(T7*R$38,"N/A")</f>
        <v>293.01161999999999</v>
      </c>
      <c r="U39" s="11" t="s">
        <v>118</v>
      </c>
      <c r="W39" s="5" t="str">
        <f>IFERROR(W7*W$38,"N/A")</f>
        <v>N/A</v>
      </c>
      <c r="X39" s="6" t="str">
        <f>IFERROR(X7*W$38,"N/A")</f>
        <v>N/A</v>
      </c>
      <c r="Y39" s="6" t="str">
        <f>IFERROR(Y7*W$38,"N/A")</f>
        <v>N/A</v>
      </c>
      <c r="Z39" s="7" t="s">
        <v>118</v>
      </c>
      <c r="AA39" s="8"/>
      <c r="AB39" s="9" t="str">
        <f>IFERROR(AB7*AB$38,"N/A")</f>
        <v>N/A</v>
      </c>
      <c r="AC39" s="10" t="str">
        <f>IFERROR(AC7*AB$38,"N/A")</f>
        <v>N/A</v>
      </c>
      <c r="AD39" s="10" t="str">
        <f>IFERROR(AD7*AB$38,"N/A")</f>
        <v>N/A</v>
      </c>
      <c r="AE39" s="11" t="s">
        <v>118</v>
      </c>
      <c r="AF39" s="88"/>
      <c r="AG39" s="5">
        <f>ROUNDDOWN(C39/(1-$AJ$2)*1.2,1)</f>
        <v>167.9</v>
      </c>
      <c r="AH39" s="6">
        <f>ROUNDDOWN(D39/(1-$AJ$2)*1.2,1)</f>
        <v>207.8</v>
      </c>
      <c r="AI39" s="6">
        <f>ROUNDDOWN(E39/(1-$AJ$2)*1.2,1)</f>
        <v>435.8</v>
      </c>
      <c r="AJ39" s="107" t="s">
        <v>118</v>
      </c>
      <c r="AK39" s="108"/>
      <c r="AL39" s="109">
        <f>ROUNDDOWN(H39/(1-$AJ$2)*1.2,1)</f>
        <v>247.9</v>
      </c>
      <c r="AM39" s="10">
        <f t="shared" ref="AM39:AN41" si="81">ROUNDDOWN(I39/(1-$AJ$2)*1.2,1)</f>
        <v>331.6</v>
      </c>
      <c r="AN39" s="10">
        <f t="shared" si="81"/>
        <v>532.70000000000005</v>
      </c>
      <c r="AO39" s="111" t="s">
        <v>118</v>
      </c>
      <c r="AP39" s="88"/>
    </row>
    <row r="40" spans="1:42" ht="14.45" customHeight="1" x14ac:dyDescent="0.25">
      <c r="A40" s="222"/>
      <c r="B40" s="27" t="s">
        <v>24</v>
      </c>
      <c r="C40" s="112">
        <f>IFERROR(C8*C$38,"N/A")</f>
        <v>73.117199999999997</v>
      </c>
      <c r="D40" s="113">
        <f>IFERROR(D8*C$38,"N/A")</f>
        <v>109.47959999999999</v>
      </c>
      <c r="E40" s="113">
        <f>IFERROR(E8*C$38,"N/A")</f>
        <v>215.95080000000002</v>
      </c>
      <c r="F40" s="114" t="s">
        <v>118</v>
      </c>
      <c r="G40" s="108"/>
      <c r="H40" s="115">
        <f>IFERROR(H8*H$38,"N/A")</f>
        <v>108.1716</v>
      </c>
      <c r="I40" s="116">
        <f>IFERROR(I8*H$38,"N/A")</f>
        <v>164.08860000000001</v>
      </c>
      <c r="J40" s="116">
        <f>IFERROR(J8*H$38,"N/A")</f>
        <v>245.7732</v>
      </c>
      <c r="K40" s="117" t="s">
        <v>118</v>
      </c>
      <c r="L40" s="8"/>
      <c r="M40" s="12">
        <f>IFERROR(M8*M$38,"N/A")</f>
        <v>96.543480000000002</v>
      </c>
      <c r="N40" s="13">
        <f>IFERROR(N8*M$38,"N/A")</f>
        <v>144.52745999999999</v>
      </c>
      <c r="O40" s="13">
        <f>IFERROR(O8*M$38,"N/A")</f>
        <v>285.02627999999999</v>
      </c>
      <c r="P40" s="14" t="s">
        <v>118</v>
      </c>
      <c r="Q40" s="8"/>
      <c r="R40" s="15">
        <f>IFERROR(R8*R$38,"N/A")</f>
        <v>142.80090000000004</v>
      </c>
      <c r="S40" s="16">
        <f>IFERROR(S8*R$38,"N/A")</f>
        <v>216.61134000000001</v>
      </c>
      <c r="T40" s="16">
        <f>IFERROR(T8*R$38,"N/A")</f>
        <v>324.44940000000003</v>
      </c>
      <c r="U40" s="17" t="s">
        <v>118</v>
      </c>
      <c r="W40" s="12" t="str">
        <f>IFERROR(W8*W$38,"N/A")</f>
        <v>N/A</v>
      </c>
      <c r="X40" s="13" t="str">
        <f>IFERROR(X8*W$38,"N/A")</f>
        <v>N/A</v>
      </c>
      <c r="Y40" s="13" t="str">
        <f>IFERROR(Y8*W$38,"N/A")</f>
        <v>N/A</v>
      </c>
      <c r="Z40" s="14" t="s">
        <v>118</v>
      </c>
      <c r="AA40" s="8"/>
      <c r="AB40" s="15" t="str">
        <f>IFERROR(AB8*AB$38,"N/A")</f>
        <v>N/A</v>
      </c>
      <c r="AC40" s="16" t="str">
        <f>IFERROR(AC8*AB$38,"N/A")</f>
        <v>N/A</v>
      </c>
      <c r="AD40" s="16" t="str">
        <f>IFERROR(AD8*AB$38,"N/A")</f>
        <v>N/A</v>
      </c>
      <c r="AE40" s="17" t="s">
        <v>118</v>
      </c>
      <c r="AF40" s="88"/>
      <c r="AG40" s="12">
        <f t="shared" ref="AG40:AI41" si="82">ROUNDDOWN(C40/(1-$AJ$2)*1.2,1)</f>
        <v>175.4</v>
      </c>
      <c r="AH40" s="13">
        <f t="shared" si="82"/>
        <v>262.7</v>
      </c>
      <c r="AI40" s="13">
        <f t="shared" si="82"/>
        <v>518.20000000000005</v>
      </c>
      <c r="AJ40" s="114" t="s">
        <v>118</v>
      </c>
      <c r="AK40" s="108"/>
      <c r="AL40" s="115">
        <f t="shared" ref="AL40:AL41" si="83">ROUNDDOWN(H40/(1-$AJ$2)*1.2,1)</f>
        <v>259.60000000000002</v>
      </c>
      <c r="AM40" s="16">
        <f t="shared" si="81"/>
        <v>393.8</v>
      </c>
      <c r="AN40" s="16">
        <f t="shared" si="81"/>
        <v>589.79999999999995</v>
      </c>
      <c r="AO40" s="117" t="s">
        <v>118</v>
      </c>
      <c r="AP40" s="88"/>
    </row>
    <row r="41" spans="1:42" ht="14.45" customHeight="1" x14ac:dyDescent="0.25">
      <c r="A41" s="222"/>
      <c r="B41" s="27" t="s">
        <v>25</v>
      </c>
      <c r="C41" s="112">
        <f>IFERROR(C9*C$38,"N/A")</f>
        <v>79.984200000000001</v>
      </c>
      <c r="D41" s="113">
        <f>IFERROR(D9*C$38,"N/A")</f>
        <v>127.66079999999999</v>
      </c>
      <c r="E41" s="113">
        <f>IFERROR(E9*C$38,"N/A")</f>
        <v>260.55360000000002</v>
      </c>
      <c r="F41" s="114" t="s">
        <v>118</v>
      </c>
      <c r="G41" s="108"/>
      <c r="H41" s="115">
        <f>IFERROR(H9*H$38,"N/A")</f>
        <v>118.83180000000002</v>
      </c>
      <c r="I41" s="116">
        <f>IFERROR(I9*H$38,"N/A")</f>
        <v>183.18540000000002</v>
      </c>
      <c r="J41" s="116">
        <f>IFERROR(J9*H$38,"N/A")</f>
        <v>299.07419999999996</v>
      </c>
      <c r="K41" s="117" t="s">
        <v>118</v>
      </c>
      <c r="L41" s="8"/>
      <c r="M41" s="12">
        <f>IFERROR(M9*M$38,"N/A")</f>
        <v>105.60791999999999</v>
      </c>
      <c r="N41" s="13">
        <f>IFERROR(N9*M$38,"N/A")</f>
        <v>168.48348000000001</v>
      </c>
      <c r="O41" s="13">
        <f>IFERROR(O9*M$38,"N/A")</f>
        <v>343.94514000000004</v>
      </c>
      <c r="P41" s="14" t="s">
        <v>118</v>
      </c>
      <c r="Q41" s="8"/>
      <c r="R41" s="15">
        <f>IFERROR(R9*R$38,"N/A")</f>
        <v>156.82920000000001</v>
      </c>
      <c r="S41" s="16">
        <f>IFERROR(S9*R$38,"N/A")</f>
        <v>241.79034000000001</v>
      </c>
      <c r="T41" s="16">
        <f>IFERROR(T9*R$38,"N/A")</f>
        <v>394.80672000000004</v>
      </c>
      <c r="U41" s="17" t="s">
        <v>118</v>
      </c>
      <c r="W41" s="12" t="str">
        <f>IFERROR(W9*W$38,"N/A")</f>
        <v>N/A</v>
      </c>
      <c r="X41" s="13" t="str">
        <f>IFERROR(X9*W$38,"N/A")</f>
        <v>N/A</v>
      </c>
      <c r="Y41" s="13" t="str">
        <f>IFERROR(Y9*W$38,"N/A")</f>
        <v>N/A</v>
      </c>
      <c r="Z41" s="14" t="s">
        <v>118</v>
      </c>
      <c r="AA41" s="8"/>
      <c r="AB41" s="15" t="str">
        <f>IFERROR(AB9*AB$38,"N/A")</f>
        <v>N/A</v>
      </c>
      <c r="AC41" s="16" t="str">
        <f>IFERROR(AC9*AB$38,"N/A")</f>
        <v>N/A</v>
      </c>
      <c r="AD41" s="16" t="str">
        <f>IFERROR(AD9*AB$38,"N/A")</f>
        <v>N/A</v>
      </c>
      <c r="AE41" s="17" t="s">
        <v>118</v>
      </c>
      <c r="AF41" s="88"/>
      <c r="AG41" s="12">
        <f t="shared" si="82"/>
        <v>191.9</v>
      </c>
      <c r="AH41" s="13">
        <f t="shared" si="82"/>
        <v>306.3</v>
      </c>
      <c r="AI41" s="13">
        <f t="shared" si="82"/>
        <v>625.29999999999995</v>
      </c>
      <c r="AJ41" s="114" t="s">
        <v>118</v>
      </c>
      <c r="AK41" s="108"/>
      <c r="AL41" s="115">
        <f t="shared" si="83"/>
        <v>285.10000000000002</v>
      </c>
      <c r="AM41" s="16">
        <f t="shared" si="81"/>
        <v>439.6</v>
      </c>
      <c r="AN41" s="16">
        <f t="shared" si="81"/>
        <v>717.7</v>
      </c>
      <c r="AO41" s="117" t="s">
        <v>118</v>
      </c>
      <c r="AP41" s="88"/>
    </row>
    <row r="42" spans="1:42" ht="14.45" customHeight="1" x14ac:dyDescent="0.25">
      <c r="A42" s="222"/>
      <c r="B42" s="27" t="s">
        <v>26</v>
      </c>
      <c r="C42" s="112" t="s">
        <v>118</v>
      </c>
      <c r="D42" s="113" t="s">
        <v>118</v>
      </c>
      <c r="E42" s="113" t="s">
        <v>118</v>
      </c>
      <c r="F42" s="114" t="s">
        <v>118</v>
      </c>
      <c r="G42" s="108"/>
      <c r="H42" s="115" t="s">
        <v>118</v>
      </c>
      <c r="I42" s="116" t="s">
        <v>118</v>
      </c>
      <c r="J42" s="116" t="s">
        <v>118</v>
      </c>
      <c r="K42" s="117" t="s">
        <v>118</v>
      </c>
      <c r="L42" s="8"/>
      <c r="M42" s="12" t="s">
        <v>118</v>
      </c>
      <c r="N42" s="13" t="s">
        <v>118</v>
      </c>
      <c r="O42" s="13" t="s">
        <v>118</v>
      </c>
      <c r="P42" s="14" t="s">
        <v>118</v>
      </c>
      <c r="Q42" s="8"/>
      <c r="R42" s="15" t="s">
        <v>118</v>
      </c>
      <c r="S42" s="16" t="s">
        <v>118</v>
      </c>
      <c r="T42" s="16" t="s">
        <v>118</v>
      </c>
      <c r="U42" s="17" t="s">
        <v>118</v>
      </c>
      <c r="W42" s="12" t="s">
        <v>118</v>
      </c>
      <c r="X42" s="13" t="s">
        <v>118</v>
      </c>
      <c r="Y42" s="13" t="s">
        <v>118</v>
      </c>
      <c r="Z42" s="14" t="s">
        <v>118</v>
      </c>
      <c r="AA42" s="8"/>
      <c r="AB42" s="15" t="s">
        <v>118</v>
      </c>
      <c r="AC42" s="16" t="s">
        <v>118</v>
      </c>
      <c r="AD42" s="16" t="s">
        <v>118</v>
      </c>
      <c r="AE42" s="17" t="s">
        <v>118</v>
      </c>
      <c r="AF42" s="88"/>
      <c r="AG42" s="12" t="s">
        <v>118</v>
      </c>
      <c r="AH42" s="13" t="s">
        <v>118</v>
      </c>
      <c r="AI42" s="13" t="s">
        <v>118</v>
      </c>
      <c r="AJ42" s="114" t="s">
        <v>118</v>
      </c>
      <c r="AK42" s="108"/>
      <c r="AL42" s="115" t="s">
        <v>118</v>
      </c>
      <c r="AM42" s="116" t="s">
        <v>118</v>
      </c>
      <c r="AN42" s="116" t="s">
        <v>118</v>
      </c>
      <c r="AO42" s="117" t="s">
        <v>118</v>
      </c>
      <c r="AP42" s="88"/>
    </row>
    <row r="43" spans="1:42" ht="14.45" customHeight="1" x14ac:dyDescent="0.25">
      <c r="A43" s="222"/>
      <c r="B43" s="27" t="s">
        <v>27</v>
      </c>
      <c r="C43" s="112" t="s">
        <v>118</v>
      </c>
      <c r="D43" s="113" t="s">
        <v>118</v>
      </c>
      <c r="E43" s="113" t="s">
        <v>118</v>
      </c>
      <c r="F43" s="114" t="s">
        <v>118</v>
      </c>
      <c r="G43" s="108"/>
      <c r="H43" s="115" t="s">
        <v>118</v>
      </c>
      <c r="I43" s="116" t="s">
        <v>118</v>
      </c>
      <c r="J43" s="116" t="s">
        <v>118</v>
      </c>
      <c r="K43" s="117" t="s">
        <v>118</v>
      </c>
      <c r="L43" s="8"/>
      <c r="M43" s="12" t="s">
        <v>118</v>
      </c>
      <c r="N43" s="13" t="s">
        <v>118</v>
      </c>
      <c r="O43" s="13" t="s">
        <v>118</v>
      </c>
      <c r="P43" s="14" t="s">
        <v>118</v>
      </c>
      <c r="Q43" s="8"/>
      <c r="R43" s="15" t="s">
        <v>118</v>
      </c>
      <c r="S43" s="16" t="s">
        <v>118</v>
      </c>
      <c r="T43" s="16" t="s">
        <v>118</v>
      </c>
      <c r="U43" s="17" t="s">
        <v>118</v>
      </c>
      <c r="W43" s="12" t="s">
        <v>118</v>
      </c>
      <c r="X43" s="13" t="s">
        <v>118</v>
      </c>
      <c r="Y43" s="13" t="s">
        <v>118</v>
      </c>
      <c r="Z43" s="14" t="s">
        <v>118</v>
      </c>
      <c r="AA43" s="8"/>
      <c r="AB43" s="15" t="s">
        <v>118</v>
      </c>
      <c r="AC43" s="16" t="s">
        <v>118</v>
      </c>
      <c r="AD43" s="16" t="s">
        <v>118</v>
      </c>
      <c r="AE43" s="17" t="s">
        <v>118</v>
      </c>
      <c r="AF43" s="88"/>
      <c r="AG43" s="112" t="s">
        <v>118</v>
      </c>
      <c r="AH43" s="13" t="s">
        <v>118</v>
      </c>
      <c r="AI43" s="13" t="s">
        <v>118</v>
      </c>
      <c r="AJ43" s="114" t="s">
        <v>118</v>
      </c>
      <c r="AK43" s="108"/>
      <c r="AL43" s="115" t="s">
        <v>118</v>
      </c>
      <c r="AM43" s="116" t="s">
        <v>118</v>
      </c>
      <c r="AN43" s="116" t="s">
        <v>118</v>
      </c>
      <c r="AO43" s="117" t="s">
        <v>118</v>
      </c>
      <c r="AP43" s="88"/>
    </row>
    <row r="44" spans="1:42" ht="14.45" customHeight="1" thickBot="1" x14ac:dyDescent="0.3">
      <c r="A44" s="223"/>
      <c r="B44" s="27" t="s">
        <v>29</v>
      </c>
      <c r="C44" s="112" t="str">
        <f>IFERROR(C12*C$38,"N/A")</f>
        <v>N/A</v>
      </c>
      <c r="D44" s="113" t="s">
        <v>118</v>
      </c>
      <c r="E44" s="113" t="s">
        <v>118</v>
      </c>
      <c r="F44" s="114" t="s">
        <v>118</v>
      </c>
      <c r="G44" s="108"/>
      <c r="H44" s="115" t="s">
        <v>118</v>
      </c>
      <c r="I44" s="116" t="s">
        <v>118</v>
      </c>
      <c r="J44" s="116" t="s">
        <v>118</v>
      </c>
      <c r="K44" s="117" t="s">
        <v>118</v>
      </c>
      <c r="L44" s="8"/>
      <c r="M44" s="12" t="str">
        <f>IFERROR(M12*M$38,"N/A")</f>
        <v>N/A</v>
      </c>
      <c r="N44" s="13" t="s">
        <v>118</v>
      </c>
      <c r="O44" s="13" t="s">
        <v>118</v>
      </c>
      <c r="P44" s="14" t="s">
        <v>118</v>
      </c>
      <c r="Q44" s="8"/>
      <c r="R44" s="15" t="s">
        <v>118</v>
      </c>
      <c r="S44" s="16" t="s">
        <v>118</v>
      </c>
      <c r="T44" s="16" t="s">
        <v>118</v>
      </c>
      <c r="U44" s="17" t="s">
        <v>118</v>
      </c>
      <c r="W44" s="12" t="str">
        <f>IFERROR(W12*W$38,"N/A")</f>
        <v>N/A</v>
      </c>
      <c r="X44" s="13" t="s">
        <v>118</v>
      </c>
      <c r="Y44" s="13" t="s">
        <v>118</v>
      </c>
      <c r="Z44" s="14" t="s">
        <v>118</v>
      </c>
      <c r="AA44" s="8"/>
      <c r="AB44" s="15" t="s">
        <v>118</v>
      </c>
      <c r="AC44" s="16" t="s">
        <v>118</v>
      </c>
      <c r="AD44" s="16" t="s">
        <v>118</v>
      </c>
      <c r="AE44" s="17" t="s">
        <v>118</v>
      </c>
      <c r="AF44" s="88"/>
      <c r="AG44" s="112" t="str">
        <f>IFERROR(AG12*AG$38,"N/A")</f>
        <v>N/A</v>
      </c>
      <c r="AH44" s="13" t="s">
        <v>118</v>
      </c>
      <c r="AI44" s="13" t="s">
        <v>118</v>
      </c>
      <c r="AJ44" s="114" t="s">
        <v>118</v>
      </c>
      <c r="AK44" s="108"/>
      <c r="AL44" s="115" t="s">
        <v>118</v>
      </c>
      <c r="AM44" s="116" t="s">
        <v>118</v>
      </c>
      <c r="AN44" s="116" t="s">
        <v>118</v>
      </c>
      <c r="AO44" s="117" t="s">
        <v>118</v>
      </c>
      <c r="AP44" s="88"/>
    </row>
    <row r="45" spans="1:42" ht="5.0999999999999996" customHeight="1" thickBot="1" x14ac:dyDescent="0.3"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W45" s="8"/>
      <c r="X45" s="8"/>
      <c r="Y45" s="8"/>
      <c r="Z45" s="8"/>
      <c r="AA45" s="8"/>
      <c r="AB45" s="8"/>
      <c r="AC45" s="8"/>
      <c r="AD45" s="8"/>
      <c r="AE45" s="8"/>
      <c r="AF45" s="89"/>
      <c r="AG45" s="108"/>
      <c r="AH45" s="108"/>
      <c r="AI45" s="108"/>
      <c r="AJ45" s="108"/>
      <c r="AK45" s="108"/>
      <c r="AL45" s="108"/>
      <c r="AM45" s="108"/>
      <c r="AN45" s="108"/>
      <c r="AO45" s="108"/>
      <c r="AP45" s="89"/>
    </row>
    <row r="46" spans="1:42" ht="15.75" thickBot="1" x14ac:dyDescent="0.3">
      <c r="B46" s="28" t="s">
        <v>119</v>
      </c>
      <c r="C46" s="30">
        <v>8.1750000000000007</v>
      </c>
      <c r="D46" s="28"/>
      <c r="E46" s="28"/>
      <c r="F46" s="28"/>
      <c r="G46" s="28"/>
      <c r="H46" s="30">
        <v>8.1750000000000007</v>
      </c>
      <c r="I46" s="28"/>
      <c r="J46" s="28"/>
      <c r="K46" s="28"/>
      <c r="L46" s="28"/>
      <c r="M46" s="30">
        <v>8.1750000000000007</v>
      </c>
      <c r="N46" s="28"/>
      <c r="O46" s="28"/>
      <c r="P46" s="28"/>
      <c r="Q46" s="28"/>
      <c r="R46" s="30">
        <v>8.1750000000000007</v>
      </c>
      <c r="T46" s="8"/>
      <c r="U46" s="8"/>
      <c r="W46" s="30">
        <v>8.1750000000000007</v>
      </c>
      <c r="X46" s="28"/>
      <c r="Y46" s="28"/>
      <c r="Z46" s="28"/>
      <c r="AA46" s="28"/>
      <c r="AB46" s="30">
        <v>8.1750000000000007</v>
      </c>
      <c r="AD46" s="8"/>
      <c r="AE46" s="8"/>
      <c r="AF46" s="89"/>
      <c r="AG46" s="108"/>
      <c r="AH46" s="108"/>
      <c r="AI46" s="108"/>
      <c r="AJ46" s="108"/>
      <c r="AK46" s="108"/>
      <c r="AN46" s="108"/>
      <c r="AO46" s="108"/>
      <c r="AP46" s="89"/>
    </row>
    <row r="47" spans="1:42" ht="14.45" customHeight="1" x14ac:dyDescent="0.25">
      <c r="A47" s="221" t="s">
        <v>124</v>
      </c>
      <c r="B47" s="26" t="s">
        <v>23</v>
      </c>
      <c r="C47" s="105">
        <f>IFERROR(C7*C$46,"N/A")</f>
        <v>87.472499999999997</v>
      </c>
      <c r="D47" s="106">
        <f>IFERROR(D7*C$46,"N/A")</f>
        <v>108.23700000000001</v>
      </c>
      <c r="E47" s="106">
        <f>IFERROR(E7*C$46,"N/A")</f>
        <v>227.01975000000002</v>
      </c>
      <c r="F47" s="107" t="s">
        <v>118</v>
      </c>
      <c r="G47" s="108"/>
      <c r="H47" s="109">
        <f>IFERROR(H7*H$46,"N/A")</f>
        <v>129.16500000000002</v>
      </c>
      <c r="I47" s="110">
        <f>IFERROR(I7*H$46,"N/A")</f>
        <v>172.73775000000001</v>
      </c>
      <c r="J47" s="110">
        <f>IFERROR(J7*H$46,"N/A")</f>
        <v>277.45949999999999</v>
      </c>
      <c r="K47" s="11" t="s">
        <v>118</v>
      </c>
      <c r="L47" s="8"/>
      <c r="M47" s="5">
        <f>IFERROR(M7*M$46,"N/A")</f>
        <v>115.46370000000002</v>
      </c>
      <c r="N47" s="6">
        <f>IFERROR(N7*M$46,"N/A")</f>
        <v>142.89082500000004</v>
      </c>
      <c r="O47" s="6">
        <f>IFERROR(O7*M$46,"N/A")</f>
        <v>299.63010000000003</v>
      </c>
      <c r="P47" s="7" t="s">
        <v>118</v>
      </c>
      <c r="Q47" s="8"/>
      <c r="R47" s="9">
        <f>IFERROR(R7*R$46,"N/A")</f>
        <v>170.49780000000004</v>
      </c>
      <c r="S47" s="10">
        <f>IFERROR(S7*R$46,"N/A")</f>
        <v>228.04980000000003</v>
      </c>
      <c r="T47" s="10">
        <f>IFERROR(T7*R$46,"N/A")</f>
        <v>366.26452499999999</v>
      </c>
      <c r="U47" s="11" t="s">
        <v>118</v>
      </c>
      <c r="W47" s="5" t="str">
        <f>IFERROR(W7*W$46,"N/A")</f>
        <v>N/A</v>
      </c>
      <c r="X47" s="6" t="str">
        <f>IFERROR(X7*W$46,"N/A")</f>
        <v>N/A</v>
      </c>
      <c r="Y47" s="6" t="str">
        <f>IFERROR(Y7*W$46,"N/A")</f>
        <v>N/A</v>
      </c>
      <c r="Z47" s="7" t="s">
        <v>118</v>
      </c>
      <c r="AA47" s="8"/>
      <c r="AB47" s="9" t="str">
        <f>IFERROR(AB7*AB$46,"N/A")</f>
        <v>N/A</v>
      </c>
      <c r="AC47" s="10" t="str">
        <f>IFERROR(AC7*AB$46,"N/A")</f>
        <v>N/A</v>
      </c>
      <c r="AD47" s="10" t="str">
        <f>IFERROR(AD7*AB$46,"N/A")</f>
        <v>N/A</v>
      </c>
      <c r="AE47" s="11" t="s">
        <v>118</v>
      </c>
      <c r="AF47" s="88"/>
      <c r="AG47" s="5">
        <f>ROUNDDOWN(C47/(1-$AJ$2)*1.2,1)</f>
        <v>209.9</v>
      </c>
      <c r="AH47" s="6">
        <f>ROUNDDOWN(D47/(1-$AJ$2)*1.2,1)</f>
        <v>259.7</v>
      </c>
      <c r="AI47" s="6">
        <f>ROUNDDOWN(E47/(1-$AJ$2)*1.2,1)</f>
        <v>544.79999999999995</v>
      </c>
      <c r="AJ47" s="107" t="s">
        <v>118</v>
      </c>
      <c r="AK47" s="108"/>
      <c r="AL47" s="109">
        <f>ROUNDDOWN(H47/(1-$AJ$2)*1.2,1)</f>
        <v>309.89999999999998</v>
      </c>
      <c r="AM47" s="10">
        <f t="shared" ref="AM47:AN49" si="84">ROUNDDOWN(I47/(1-$AJ$2)*1.2,1)</f>
        <v>414.5</v>
      </c>
      <c r="AN47" s="10">
        <f t="shared" si="84"/>
        <v>665.9</v>
      </c>
      <c r="AO47" s="111" t="s">
        <v>118</v>
      </c>
      <c r="AP47" s="88"/>
    </row>
    <row r="48" spans="1:42" ht="14.45" customHeight="1" x14ac:dyDescent="0.25">
      <c r="A48" s="222"/>
      <c r="B48" s="27" t="s">
        <v>24</v>
      </c>
      <c r="C48" s="112">
        <f>IFERROR(C8*C$46,"N/A")</f>
        <v>91.396500000000003</v>
      </c>
      <c r="D48" s="113">
        <f>IFERROR(D8*C$46,"N/A")</f>
        <v>136.84950000000001</v>
      </c>
      <c r="E48" s="113">
        <f>IFERROR(E8*C$46,"N/A")</f>
        <v>269.93850000000003</v>
      </c>
      <c r="F48" s="114" t="s">
        <v>118</v>
      </c>
      <c r="G48" s="108"/>
      <c r="H48" s="115">
        <f>IFERROR(H8*H$46,"N/A")</f>
        <v>135.21450000000002</v>
      </c>
      <c r="I48" s="116">
        <f>IFERROR(I8*H$46,"N/A")</f>
        <v>205.11075000000002</v>
      </c>
      <c r="J48" s="116">
        <f>IFERROR(J8*H$46,"N/A")</f>
        <v>307.2165</v>
      </c>
      <c r="K48" s="17" t="s">
        <v>118</v>
      </c>
      <c r="L48" s="8"/>
      <c r="M48" s="12">
        <f>IFERROR(M8*M$46,"N/A")</f>
        <v>120.67935000000001</v>
      </c>
      <c r="N48" s="13">
        <f>IFERROR(N8*M$46,"N/A")</f>
        <v>180.65932500000002</v>
      </c>
      <c r="O48" s="13">
        <f>IFERROR(O8*M$46,"N/A")</f>
        <v>356.28285000000005</v>
      </c>
      <c r="P48" s="14" t="s">
        <v>118</v>
      </c>
      <c r="Q48" s="8"/>
      <c r="R48" s="15">
        <f>IFERROR(R8*R$46,"N/A")</f>
        <v>178.50112500000006</v>
      </c>
      <c r="S48" s="16">
        <f>IFERROR(S8*R$46,"N/A")</f>
        <v>270.76417500000002</v>
      </c>
      <c r="T48" s="16">
        <f>IFERROR(T8*R$46,"N/A")</f>
        <v>405.56175000000007</v>
      </c>
      <c r="U48" s="17" t="s">
        <v>118</v>
      </c>
      <c r="W48" s="12" t="str">
        <f>IFERROR(W8*W$46,"N/A")</f>
        <v>N/A</v>
      </c>
      <c r="X48" s="13" t="str">
        <f>IFERROR(X8*W$46,"N/A")</f>
        <v>N/A</v>
      </c>
      <c r="Y48" s="13" t="str">
        <f>IFERROR(Y8*W$46,"N/A")</f>
        <v>N/A</v>
      </c>
      <c r="Z48" s="14" t="s">
        <v>118</v>
      </c>
      <c r="AA48" s="8"/>
      <c r="AB48" s="15" t="str">
        <f>IFERROR(AB8*AB$46,"N/A")</f>
        <v>N/A</v>
      </c>
      <c r="AC48" s="16" t="str">
        <f>IFERROR(AC8*AB$46,"N/A")</f>
        <v>N/A</v>
      </c>
      <c r="AD48" s="16" t="str">
        <f>IFERROR(AD8*AB$46,"N/A")</f>
        <v>N/A</v>
      </c>
      <c r="AE48" s="17" t="s">
        <v>118</v>
      </c>
      <c r="AF48" s="88"/>
      <c r="AG48" s="12">
        <f t="shared" ref="AG48:AI49" si="85">ROUNDDOWN(C48/(1-$AJ$2)*1.2,1)</f>
        <v>219.3</v>
      </c>
      <c r="AH48" s="13">
        <f t="shared" si="85"/>
        <v>328.4</v>
      </c>
      <c r="AI48" s="13">
        <f t="shared" si="85"/>
        <v>647.79999999999995</v>
      </c>
      <c r="AJ48" s="114" t="s">
        <v>118</v>
      </c>
      <c r="AK48" s="108"/>
      <c r="AL48" s="115">
        <f t="shared" ref="AL48:AL49" si="86">ROUNDDOWN(H48/(1-$AJ$2)*1.2,1)</f>
        <v>324.5</v>
      </c>
      <c r="AM48" s="16">
        <f t="shared" si="84"/>
        <v>492.2</v>
      </c>
      <c r="AN48" s="16">
        <f t="shared" si="84"/>
        <v>737.3</v>
      </c>
      <c r="AO48" s="117" t="s">
        <v>118</v>
      </c>
      <c r="AP48" s="88"/>
    </row>
    <row r="49" spans="1:42" ht="14.45" customHeight="1" x14ac:dyDescent="0.25">
      <c r="A49" s="222"/>
      <c r="B49" s="27" t="s">
        <v>25</v>
      </c>
      <c r="C49" s="112">
        <f>IFERROR(C9*C$46,"N/A")</f>
        <v>99.980250000000012</v>
      </c>
      <c r="D49" s="113">
        <f>IFERROR(D9*C$46,"N/A")</f>
        <v>159.57600000000002</v>
      </c>
      <c r="E49" s="113">
        <f>IFERROR(E9*C$46,"N/A")</f>
        <v>325.69200000000006</v>
      </c>
      <c r="F49" s="114" t="s">
        <v>118</v>
      </c>
      <c r="G49" s="108"/>
      <c r="H49" s="115">
        <f>IFERROR(H9*H$46,"N/A")</f>
        <v>148.53975000000003</v>
      </c>
      <c r="I49" s="116">
        <f>IFERROR(I9*H$46,"N/A")</f>
        <v>228.98175000000003</v>
      </c>
      <c r="J49" s="116">
        <f>IFERROR(J9*H$46,"N/A")</f>
        <v>373.84275000000002</v>
      </c>
      <c r="K49" s="17" t="s">
        <v>118</v>
      </c>
      <c r="L49" s="8"/>
      <c r="M49" s="12">
        <f>IFERROR(M9*M$46,"N/A")</f>
        <v>132.00990000000002</v>
      </c>
      <c r="N49" s="13">
        <f>IFERROR(N9*M$46,"N/A")</f>
        <v>210.60435000000004</v>
      </c>
      <c r="O49" s="13">
        <f>IFERROR(O9*M$46,"N/A")</f>
        <v>429.9314250000001</v>
      </c>
      <c r="P49" s="14" t="s">
        <v>118</v>
      </c>
      <c r="Q49" s="8"/>
      <c r="R49" s="15">
        <f>IFERROR(R9*R$46,"N/A")</f>
        <v>196.03650000000005</v>
      </c>
      <c r="S49" s="16">
        <f>IFERROR(S9*R$46,"N/A")</f>
        <v>302.23792500000008</v>
      </c>
      <c r="T49" s="16">
        <f>IFERROR(T9*R$46,"N/A")</f>
        <v>493.50840000000011</v>
      </c>
      <c r="U49" s="17" t="s">
        <v>118</v>
      </c>
      <c r="W49" s="12" t="str">
        <f>IFERROR(W9*W$46,"N/A")</f>
        <v>N/A</v>
      </c>
      <c r="X49" s="13" t="str">
        <f>IFERROR(X9*W$46,"N/A")</f>
        <v>N/A</v>
      </c>
      <c r="Y49" s="13" t="str">
        <f>IFERROR(Y9*W$46,"N/A")</f>
        <v>N/A</v>
      </c>
      <c r="Z49" s="14" t="s">
        <v>118</v>
      </c>
      <c r="AA49" s="8"/>
      <c r="AB49" s="15" t="str">
        <f>IFERROR(AB9*AB$46,"N/A")</f>
        <v>N/A</v>
      </c>
      <c r="AC49" s="16" t="str">
        <f>IFERROR(AC9*AB$46,"N/A")</f>
        <v>N/A</v>
      </c>
      <c r="AD49" s="16" t="str">
        <f>IFERROR(AD9*AB$46,"N/A")</f>
        <v>N/A</v>
      </c>
      <c r="AE49" s="17" t="s">
        <v>118</v>
      </c>
      <c r="AF49" s="88"/>
      <c r="AG49" s="12">
        <f t="shared" si="85"/>
        <v>239.9</v>
      </c>
      <c r="AH49" s="13">
        <f t="shared" si="85"/>
        <v>382.9</v>
      </c>
      <c r="AI49" s="13">
        <f t="shared" si="85"/>
        <v>781.6</v>
      </c>
      <c r="AJ49" s="114" t="s">
        <v>118</v>
      </c>
      <c r="AK49" s="108"/>
      <c r="AL49" s="115">
        <f t="shared" si="86"/>
        <v>356.4</v>
      </c>
      <c r="AM49" s="16">
        <f t="shared" si="84"/>
        <v>549.5</v>
      </c>
      <c r="AN49" s="16">
        <f t="shared" si="84"/>
        <v>897.2</v>
      </c>
      <c r="AO49" s="117" t="s">
        <v>118</v>
      </c>
      <c r="AP49" s="88"/>
    </row>
    <row r="50" spans="1:42" ht="14.45" customHeight="1" x14ac:dyDescent="0.25">
      <c r="A50" s="222"/>
      <c r="B50" s="27" t="s">
        <v>26</v>
      </c>
      <c r="C50" s="12" t="s">
        <v>118</v>
      </c>
      <c r="D50" s="13" t="s">
        <v>118</v>
      </c>
      <c r="E50" s="13" t="s">
        <v>118</v>
      </c>
      <c r="F50" s="14" t="s">
        <v>118</v>
      </c>
      <c r="G50" s="8"/>
      <c r="H50" s="15" t="s">
        <v>118</v>
      </c>
      <c r="I50" s="16" t="s">
        <v>118</v>
      </c>
      <c r="J50" s="16" t="s">
        <v>118</v>
      </c>
      <c r="K50" s="17" t="s">
        <v>118</v>
      </c>
      <c r="L50" s="8"/>
      <c r="M50" s="12" t="s">
        <v>118</v>
      </c>
      <c r="N50" s="13" t="s">
        <v>118</v>
      </c>
      <c r="O50" s="13" t="s">
        <v>118</v>
      </c>
      <c r="P50" s="14" t="s">
        <v>118</v>
      </c>
      <c r="Q50" s="8"/>
      <c r="R50" s="15" t="s">
        <v>118</v>
      </c>
      <c r="S50" s="16" t="s">
        <v>118</v>
      </c>
      <c r="T50" s="16" t="s">
        <v>118</v>
      </c>
      <c r="U50" s="17" t="s">
        <v>118</v>
      </c>
      <c r="W50" s="12" t="s">
        <v>118</v>
      </c>
      <c r="X50" s="13" t="s">
        <v>118</v>
      </c>
      <c r="Y50" s="13" t="s">
        <v>118</v>
      </c>
      <c r="Z50" s="14" t="s">
        <v>118</v>
      </c>
      <c r="AA50" s="8"/>
      <c r="AB50" s="15" t="s">
        <v>118</v>
      </c>
      <c r="AC50" s="16" t="s">
        <v>118</v>
      </c>
      <c r="AD50" s="16" t="s">
        <v>118</v>
      </c>
      <c r="AE50" s="17" t="s">
        <v>118</v>
      </c>
      <c r="AF50" s="88"/>
      <c r="AG50" s="112" t="s">
        <v>118</v>
      </c>
      <c r="AH50" s="113" t="s">
        <v>118</v>
      </c>
      <c r="AI50" s="113" t="s">
        <v>118</v>
      </c>
      <c r="AJ50" s="114" t="s">
        <v>118</v>
      </c>
      <c r="AK50" s="108"/>
      <c r="AL50" s="15" t="s">
        <v>118</v>
      </c>
      <c r="AM50" s="116" t="s">
        <v>118</v>
      </c>
      <c r="AN50" s="116" t="s">
        <v>118</v>
      </c>
      <c r="AO50" s="117" t="s">
        <v>118</v>
      </c>
      <c r="AP50" s="88"/>
    </row>
    <row r="51" spans="1:42" ht="14.45" customHeight="1" x14ac:dyDescent="0.25">
      <c r="A51" s="222"/>
      <c r="B51" s="27" t="s">
        <v>27</v>
      </c>
      <c r="C51" s="12" t="s">
        <v>118</v>
      </c>
      <c r="D51" s="13" t="s">
        <v>118</v>
      </c>
      <c r="E51" s="13" t="s">
        <v>118</v>
      </c>
      <c r="F51" s="14" t="s">
        <v>118</v>
      </c>
      <c r="G51" s="8"/>
      <c r="H51" s="15" t="s">
        <v>118</v>
      </c>
      <c r="I51" s="16" t="s">
        <v>118</v>
      </c>
      <c r="J51" s="16" t="s">
        <v>118</v>
      </c>
      <c r="K51" s="17" t="s">
        <v>118</v>
      </c>
      <c r="L51" s="8"/>
      <c r="M51" s="12" t="s">
        <v>118</v>
      </c>
      <c r="N51" s="13" t="s">
        <v>118</v>
      </c>
      <c r="O51" s="13" t="s">
        <v>118</v>
      </c>
      <c r="P51" s="14" t="s">
        <v>118</v>
      </c>
      <c r="Q51" s="8"/>
      <c r="R51" s="15" t="s">
        <v>118</v>
      </c>
      <c r="S51" s="16" t="s">
        <v>118</v>
      </c>
      <c r="T51" s="16" t="s">
        <v>118</v>
      </c>
      <c r="U51" s="17" t="s">
        <v>118</v>
      </c>
      <c r="W51" s="12" t="s">
        <v>118</v>
      </c>
      <c r="X51" s="13" t="s">
        <v>118</v>
      </c>
      <c r="Y51" s="13" t="s">
        <v>118</v>
      </c>
      <c r="Z51" s="14" t="s">
        <v>118</v>
      </c>
      <c r="AA51" s="8"/>
      <c r="AB51" s="15" t="s">
        <v>118</v>
      </c>
      <c r="AC51" s="16" t="s">
        <v>118</v>
      </c>
      <c r="AD51" s="16" t="s">
        <v>118</v>
      </c>
      <c r="AE51" s="17" t="s">
        <v>118</v>
      </c>
      <c r="AF51" s="88"/>
      <c r="AG51" s="112" t="s">
        <v>118</v>
      </c>
      <c r="AH51" s="113" t="s">
        <v>118</v>
      </c>
      <c r="AI51" s="113" t="s">
        <v>118</v>
      </c>
      <c r="AJ51" s="114" t="s">
        <v>118</v>
      </c>
      <c r="AK51" s="108"/>
      <c r="AL51" s="115" t="s">
        <v>118</v>
      </c>
      <c r="AM51" s="116" t="s">
        <v>118</v>
      </c>
      <c r="AN51" s="116" t="s">
        <v>118</v>
      </c>
      <c r="AO51" s="117" t="s">
        <v>118</v>
      </c>
      <c r="AP51" s="88"/>
    </row>
    <row r="52" spans="1:42" ht="14.45" customHeight="1" thickBot="1" x14ac:dyDescent="0.3">
      <c r="A52" s="223"/>
      <c r="B52" s="27" t="s">
        <v>29</v>
      </c>
      <c r="C52" s="12" t="str">
        <f>IFERROR(C20*C$38,"N/A")</f>
        <v>N/A</v>
      </c>
      <c r="D52" s="13" t="s">
        <v>118</v>
      </c>
      <c r="E52" s="13" t="s">
        <v>118</v>
      </c>
      <c r="F52" s="14" t="s">
        <v>118</v>
      </c>
      <c r="G52" s="8"/>
      <c r="H52" s="15" t="s">
        <v>118</v>
      </c>
      <c r="I52" s="16" t="s">
        <v>118</v>
      </c>
      <c r="J52" s="16" t="s">
        <v>118</v>
      </c>
      <c r="K52" s="17" t="s">
        <v>118</v>
      </c>
      <c r="L52" s="8"/>
      <c r="M52" s="12" t="str">
        <f>IFERROR(M20*M$38,"N/A")</f>
        <v>N/A</v>
      </c>
      <c r="N52" s="13" t="s">
        <v>118</v>
      </c>
      <c r="O52" s="13" t="s">
        <v>118</v>
      </c>
      <c r="P52" s="14" t="s">
        <v>118</v>
      </c>
      <c r="Q52" s="8"/>
      <c r="R52" s="15" t="s">
        <v>118</v>
      </c>
      <c r="S52" s="16" t="s">
        <v>118</v>
      </c>
      <c r="T52" s="16" t="s">
        <v>118</v>
      </c>
      <c r="U52" s="17" t="s">
        <v>118</v>
      </c>
      <c r="W52" s="12" t="str">
        <f>IFERROR(W20*W$38,"N/A")</f>
        <v>N/A</v>
      </c>
      <c r="X52" s="13" t="s">
        <v>118</v>
      </c>
      <c r="Y52" s="13" t="s">
        <v>118</v>
      </c>
      <c r="Z52" s="14" t="s">
        <v>118</v>
      </c>
      <c r="AA52" s="8"/>
      <c r="AB52" s="15" t="s">
        <v>118</v>
      </c>
      <c r="AC52" s="16" t="s">
        <v>118</v>
      </c>
      <c r="AD52" s="16" t="s">
        <v>118</v>
      </c>
      <c r="AE52" s="17" t="s">
        <v>118</v>
      </c>
      <c r="AF52" s="88"/>
      <c r="AG52" s="112" t="str">
        <f>IFERROR(AG20*AG$38,"N/A")</f>
        <v>N/A</v>
      </c>
      <c r="AH52" s="113" t="s">
        <v>118</v>
      </c>
      <c r="AI52" s="113" t="s">
        <v>118</v>
      </c>
      <c r="AJ52" s="114" t="s">
        <v>118</v>
      </c>
      <c r="AK52" s="108"/>
      <c r="AL52" s="115" t="s">
        <v>118</v>
      </c>
      <c r="AM52" s="116" t="s">
        <v>118</v>
      </c>
      <c r="AN52" s="116" t="s">
        <v>118</v>
      </c>
      <c r="AO52" s="117" t="s">
        <v>118</v>
      </c>
      <c r="AP52" s="88"/>
    </row>
  </sheetData>
  <mergeCells count="21">
    <mergeCell ref="A15:A20"/>
    <mergeCell ref="A23:A28"/>
    <mergeCell ref="A31:A36"/>
    <mergeCell ref="A39:A44"/>
    <mergeCell ref="A47:A52"/>
    <mergeCell ref="AB3:AE3"/>
    <mergeCell ref="AG3:AJ3"/>
    <mergeCell ref="AL3:AO3"/>
    <mergeCell ref="AS3:AV3"/>
    <mergeCell ref="AW3:AZ3"/>
    <mergeCell ref="A7:A12"/>
    <mergeCell ref="C1:K1"/>
    <mergeCell ref="M1:U1"/>
    <mergeCell ref="W1:AE1"/>
    <mergeCell ref="AG1:AO1"/>
    <mergeCell ref="AR2:BB2"/>
    <mergeCell ref="C3:F3"/>
    <mergeCell ref="H3:K3"/>
    <mergeCell ref="M3:P3"/>
    <mergeCell ref="R3:U3"/>
    <mergeCell ref="W3:Z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3C9DF-03AA-4B11-9DCF-156604477106}">
  <sheetPr>
    <tabColor rgb="FFFF0000"/>
  </sheetPr>
  <dimension ref="A1:BB52"/>
  <sheetViews>
    <sheetView showGridLines="0" zoomScale="85" zoomScaleNormal="85" workbookViewId="0">
      <pane xSplit="2" ySplit="6" topLeftCell="F7" activePane="bottomRight" state="frozen"/>
      <selection pane="topRight" activeCell="C1" sqref="C1"/>
      <selection pane="bottomLeft" activeCell="A8" sqref="A8"/>
      <selection pane="bottomRight" activeCell="AP1" sqref="AP1"/>
    </sheetView>
  </sheetViews>
  <sheetFormatPr defaultColWidth="8.85546875" defaultRowHeight="15" x14ac:dyDescent="0.25"/>
  <cols>
    <col min="1" max="1" width="10" style="1" customWidth="1"/>
    <col min="2" max="2" width="20" style="25" bestFit="1" customWidth="1"/>
    <col min="3" max="6" width="12.5703125" style="1" customWidth="1"/>
    <col min="7" max="7" width="1.5703125" style="1" customWidth="1"/>
    <col min="8" max="11" width="12.5703125" style="1" customWidth="1"/>
    <col min="12" max="12" width="2.5703125" style="1" customWidth="1"/>
    <col min="13" max="16" width="12.5703125" style="1" customWidth="1"/>
    <col min="17" max="17" width="1.5703125" style="1" customWidth="1"/>
    <col min="18" max="21" width="12.5703125" style="1" customWidth="1"/>
    <col min="22" max="22" width="1.5703125" style="1" hidden="1" customWidth="1"/>
    <col min="23" max="26" width="12.5703125" style="1" hidden="1" customWidth="1"/>
    <col min="27" max="27" width="1.5703125" style="1" hidden="1" customWidth="1"/>
    <col min="28" max="31" width="12.5703125" style="1" hidden="1" customWidth="1"/>
    <col min="32" max="32" width="5.28515625" customWidth="1"/>
    <col min="33" max="36" width="12.5703125" style="1" customWidth="1"/>
    <col min="37" max="37" width="1.5703125" style="1" customWidth="1"/>
    <col min="38" max="41" width="12.5703125" style="1" customWidth="1"/>
    <col min="42" max="42" width="5.42578125" customWidth="1"/>
    <col min="43" max="43" width="8.85546875" style="1" hidden="1" customWidth="1"/>
    <col min="44" max="44" width="6.42578125" style="1" hidden="1" customWidth="1"/>
    <col min="45" max="54" width="12.5703125" style="1" hidden="1" customWidth="1"/>
    <col min="55" max="16384" width="8.85546875" style="1"/>
  </cols>
  <sheetData>
    <row r="1" spans="1:54" ht="19.5" thickBot="1" x14ac:dyDescent="0.35">
      <c r="A1" s="32" t="s">
        <v>94</v>
      </c>
      <c r="B1" s="36"/>
      <c r="C1" s="224" t="s">
        <v>173</v>
      </c>
      <c r="D1" s="225"/>
      <c r="E1" s="225"/>
      <c r="F1" s="225"/>
      <c r="G1" s="225"/>
      <c r="H1" s="225"/>
      <c r="I1" s="225"/>
      <c r="J1" s="225"/>
      <c r="K1" s="226"/>
      <c r="L1" s="3"/>
      <c r="M1" s="227" t="s">
        <v>171</v>
      </c>
      <c r="N1" s="228"/>
      <c r="O1" s="228"/>
      <c r="P1" s="228"/>
      <c r="Q1" s="228"/>
      <c r="R1" s="228"/>
      <c r="S1" s="228"/>
      <c r="T1" s="228"/>
      <c r="U1" s="229"/>
      <c r="W1" s="230" t="s">
        <v>95</v>
      </c>
      <c r="X1" s="231"/>
      <c r="Y1" s="231"/>
      <c r="Z1" s="231"/>
      <c r="AA1" s="231"/>
      <c r="AB1" s="231"/>
      <c r="AC1" s="231"/>
      <c r="AD1" s="231"/>
      <c r="AE1" s="232"/>
      <c r="AF1" s="84"/>
      <c r="AG1" s="230" t="s">
        <v>172</v>
      </c>
      <c r="AH1" s="231"/>
      <c r="AI1" s="231"/>
      <c r="AJ1" s="231"/>
      <c r="AK1" s="231"/>
      <c r="AL1" s="231"/>
      <c r="AM1" s="231"/>
      <c r="AN1" s="231"/>
      <c r="AO1" s="232"/>
      <c r="AP1" s="84"/>
    </row>
    <row r="2" spans="1:54" ht="15.75" thickBot="1" x14ac:dyDescent="0.3">
      <c r="A2" s="32" t="s">
        <v>96</v>
      </c>
      <c r="B2" s="36"/>
      <c r="AJ2" s="82">
        <v>0.5</v>
      </c>
      <c r="AR2" s="239" t="s">
        <v>97</v>
      </c>
      <c r="AS2" s="239"/>
      <c r="AT2" s="239"/>
      <c r="AU2" s="239"/>
      <c r="AV2" s="239"/>
      <c r="AW2" s="239"/>
      <c r="AX2" s="239"/>
      <c r="AY2" s="239"/>
      <c r="AZ2" s="239"/>
      <c r="BA2" s="239"/>
      <c r="BB2" s="239"/>
    </row>
    <row r="3" spans="1:54" s="4" customFormat="1" ht="15.75" thickBot="1" x14ac:dyDescent="0.3">
      <c r="A3" s="32" t="s">
        <v>98</v>
      </c>
      <c r="B3" s="34">
        <f>B2-B1+1</f>
        <v>1</v>
      </c>
      <c r="C3" s="236" t="s">
        <v>20</v>
      </c>
      <c r="D3" s="237"/>
      <c r="E3" s="237"/>
      <c r="F3" s="238"/>
      <c r="H3" s="233" t="s">
        <v>21</v>
      </c>
      <c r="I3" s="234"/>
      <c r="J3" s="234"/>
      <c r="K3" s="235"/>
      <c r="M3" s="236" t="s">
        <v>20</v>
      </c>
      <c r="N3" s="237"/>
      <c r="O3" s="237"/>
      <c r="P3" s="238"/>
      <c r="R3" s="233" t="s">
        <v>21</v>
      </c>
      <c r="S3" s="234"/>
      <c r="T3" s="234"/>
      <c r="U3" s="235"/>
      <c r="V3" s="1"/>
      <c r="W3" s="236" t="s">
        <v>20</v>
      </c>
      <c r="X3" s="237"/>
      <c r="Y3" s="237"/>
      <c r="Z3" s="238"/>
      <c r="AB3" s="233" t="s">
        <v>21</v>
      </c>
      <c r="AC3" s="234"/>
      <c r="AD3" s="234"/>
      <c r="AE3" s="235"/>
      <c r="AF3" s="85"/>
      <c r="AG3" s="236" t="s">
        <v>20</v>
      </c>
      <c r="AH3" s="237"/>
      <c r="AI3" s="237"/>
      <c r="AJ3" s="238"/>
      <c r="AL3" s="233" t="s">
        <v>21</v>
      </c>
      <c r="AM3" s="234"/>
      <c r="AN3" s="234"/>
      <c r="AO3" s="235"/>
      <c r="AP3" s="85"/>
      <c r="AS3" s="240" t="s">
        <v>99</v>
      </c>
      <c r="AT3" s="241"/>
      <c r="AU3" s="241"/>
      <c r="AV3" s="242"/>
      <c r="AW3" s="240" t="s">
        <v>100</v>
      </c>
      <c r="AX3" s="241"/>
      <c r="AY3" s="241"/>
      <c r="AZ3" s="242"/>
    </row>
    <row r="4" spans="1:54" ht="1.5" customHeight="1" thickBot="1" x14ac:dyDescent="0.3">
      <c r="B4" s="32">
        <v>102</v>
      </c>
      <c r="C4" s="2"/>
      <c r="D4" s="2"/>
      <c r="E4" s="2"/>
      <c r="F4" s="2"/>
      <c r="H4" s="2"/>
      <c r="I4" s="2"/>
      <c r="J4" s="2"/>
      <c r="K4" s="2"/>
      <c r="M4" s="2"/>
      <c r="N4" s="2"/>
      <c r="O4" s="2"/>
      <c r="P4" s="2"/>
      <c r="R4" s="2"/>
      <c r="S4" s="2"/>
      <c r="T4" s="2"/>
      <c r="U4" s="2"/>
      <c r="W4" s="2"/>
      <c r="X4" s="2"/>
      <c r="Y4" s="2"/>
      <c r="Z4" s="2"/>
      <c r="AB4" s="2"/>
      <c r="AC4" s="2"/>
      <c r="AD4" s="2"/>
      <c r="AE4" s="2"/>
      <c r="AF4" s="86"/>
      <c r="AG4" s="2"/>
      <c r="AH4" s="2"/>
      <c r="AI4" s="2"/>
      <c r="AJ4" s="2"/>
      <c r="AL4" s="2"/>
      <c r="AM4" s="2"/>
      <c r="AN4" s="2"/>
      <c r="AO4" s="2"/>
      <c r="AP4" s="86"/>
      <c r="AS4" s="63"/>
      <c r="AV4" s="57"/>
      <c r="AW4" s="63"/>
      <c r="AZ4" s="57"/>
    </row>
    <row r="5" spans="1:54" s="18" customFormat="1" ht="68.25" customHeight="1" thickBot="1" x14ac:dyDescent="0.3">
      <c r="A5" s="33" t="s">
        <v>101</v>
      </c>
      <c r="B5" s="35">
        <f>IF((B3-31)/7&gt;0,ROUNDUP((B3-31)/7,0),0)</f>
        <v>0</v>
      </c>
      <c r="C5" s="19" t="s">
        <v>22</v>
      </c>
      <c r="D5" s="20" t="s">
        <v>28</v>
      </c>
      <c r="E5" s="20" t="s">
        <v>102</v>
      </c>
      <c r="F5" s="21" t="s">
        <v>103</v>
      </c>
      <c r="G5" s="4"/>
      <c r="H5" s="22" t="s">
        <v>22</v>
      </c>
      <c r="I5" s="23" t="s">
        <v>28</v>
      </c>
      <c r="J5" s="23" t="s">
        <v>102</v>
      </c>
      <c r="K5" s="24" t="s">
        <v>103</v>
      </c>
      <c r="M5" s="19" t="s">
        <v>22</v>
      </c>
      <c r="N5" s="20" t="s">
        <v>28</v>
      </c>
      <c r="O5" s="20" t="s">
        <v>102</v>
      </c>
      <c r="P5" s="21" t="s">
        <v>103</v>
      </c>
      <c r="Q5" s="4"/>
      <c r="R5" s="22" t="s">
        <v>22</v>
      </c>
      <c r="S5" s="23" t="s">
        <v>28</v>
      </c>
      <c r="T5" s="23" t="s">
        <v>102</v>
      </c>
      <c r="U5" s="24" t="s">
        <v>103</v>
      </c>
      <c r="V5" s="1"/>
      <c r="W5" s="19" t="s">
        <v>22</v>
      </c>
      <c r="X5" s="20" t="s">
        <v>28</v>
      </c>
      <c r="Y5" s="20" t="s">
        <v>102</v>
      </c>
      <c r="Z5" s="21" t="s">
        <v>103</v>
      </c>
      <c r="AA5" s="4"/>
      <c r="AB5" s="22" t="s">
        <v>22</v>
      </c>
      <c r="AC5" s="23" t="s">
        <v>28</v>
      </c>
      <c r="AD5" s="23" t="s">
        <v>102</v>
      </c>
      <c r="AE5" s="24" t="s">
        <v>103</v>
      </c>
      <c r="AF5" s="87"/>
      <c r="AG5" s="19" t="s">
        <v>22</v>
      </c>
      <c r="AH5" s="20" t="s">
        <v>28</v>
      </c>
      <c r="AI5" s="20" t="s">
        <v>102</v>
      </c>
      <c r="AJ5" s="21" t="s">
        <v>103</v>
      </c>
      <c r="AK5" s="4"/>
      <c r="AL5" s="22" t="s">
        <v>22</v>
      </c>
      <c r="AM5" s="23" t="s">
        <v>28</v>
      </c>
      <c r="AN5" s="23" t="s">
        <v>102</v>
      </c>
      <c r="AO5" s="24" t="s">
        <v>103</v>
      </c>
      <c r="AP5" s="87"/>
      <c r="AR5" s="66" t="s">
        <v>104</v>
      </c>
      <c r="AS5" s="61" t="s">
        <v>105</v>
      </c>
      <c r="AT5" s="62" t="s">
        <v>106</v>
      </c>
      <c r="AU5" s="62" t="s">
        <v>107</v>
      </c>
      <c r="AV5" s="60" t="s">
        <v>108</v>
      </c>
      <c r="AW5" s="61" t="s">
        <v>109</v>
      </c>
      <c r="AX5" s="62" t="s">
        <v>110</v>
      </c>
      <c r="AY5" s="62" t="s">
        <v>111</v>
      </c>
      <c r="AZ5" s="60" t="s">
        <v>112</v>
      </c>
      <c r="BA5" s="66" t="s">
        <v>113</v>
      </c>
      <c r="BB5" s="62" t="s">
        <v>114</v>
      </c>
    </row>
    <row r="6" spans="1:54" ht="12.75" customHeight="1" thickBot="1" x14ac:dyDescent="0.3">
      <c r="AR6" s="55"/>
      <c r="AS6" s="63"/>
      <c r="AV6" s="57"/>
      <c r="AW6" s="63"/>
      <c r="AZ6" s="57"/>
      <c r="BA6" s="55"/>
    </row>
    <row r="7" spans="1:54" ht="12.75" customHeight="1" x14ac:dyDescent="0.25">
      <c r="A7" s="221" t="s">
        <v>115</v>
      </c>
      <c r="B7" s="26" t="s">
        <v>23</v>
      </c>
      <c r="C7" s="169">
        <f>'ST Inc Cruise from 24 Feb 26'!C5</f>
        <v>10.51</v>
      </c>
      <c r="D7" s="106">
        <f>'ST Inc Cruise from 24 Feb 26'!C12</f>
        <v>13</v>
      </c>
      <c r="E7" s="106">
        <f>'ST Inc Cruise from 24 Feb 26'!C20</f>
        <v>27.27</v>
      </c>
      <c r="F7" s="107">
        <f>'ST Inc Cruise from 24 Feb 26'!C28</f>
        <v>31.07</v>
      </c>
      <c r="G7" s="108"/>
      <c r="H7" s="109">
        <f>'ST Inc Cruise from 24 Feb 26'!D5</f>
        <v>15.51</v>
      </c>
      <c r="I7" s="110">
        <f>'ST Inc Cruise from 24 Feb 26'!D12</f>
        <v>20.74</v>
      </c>
      <c r="J7" s="110">
        <f>'ST Inc Cruise from 24 Feb 26'!D20</f>
        <v>33.32</v>
      </c>
      <c r="K7" s="111">
        <f>'ST Inc Cruise from 24 Feb 26'!D28</f>
        <v>36.619999999999997</v>
      </c>
      <c r="L7" s="8"/>
      <c r="M7" s="169">
        <f>'ST Inc Cruise from 24 Feb 26'!L5</f>
        <v>13.871</v>
      </c>
      <c r="N7" s="106">
        <f>'ST Inc Cruise from 24 Feb 26'!L12</f>
        <v>17.16</v>
      </c>
      <c r="O7" s="106">
        <f>'ST Inc Cruise from 24 Feb 26'!L20</f>
        <v>35.992000000000004</v>
      </c>
      <c r="P7" s="107">
        <f>'ST Inc Cruise from 24 Feb 26'!L28</f>
        <v>41.008000000000003</v>
      </c>
      <c r="Q7" s="8"/>
      <c r="R7" s="109">
        <f>'ST Inc Cruise from 24 Feb 26'!M5</f>
        <v>20.471</v>
      </c>
      <c r="S7" s="110">
        <f>'ST Inc Cruise from 24 Feb 26'!M12</f>
        <v>27.379000000000001</v>
      </c>
      <c r="T7" s="110">
        <f>'ST Inc Cruise from 24 Feb 26'!M20</f>
        <v>43.978000000000002</v>
      </c>
      <c r="U7" s="111">
        <f>'ST Inc Cruise from 24 Feb 26'!M28</f>
        <v>48.334000000000003</v>
      </c>
      <c r="W7" s="5" t="e">
        <f>SUM(C7/(1-#REF!)*1.2,1)</f>
        <v>#REF!</v>
      </c>
      <c r="X7" s="6" t="e">
        <f>SUM(D7/(1-#REF!)*1.2,1)</f>
        <v>#REF!</v>
      </c>
      <c r="Y7" s="6" t="e">
        <f>SUM(E7/(1-#REF!)*1.2,1)</f>
        <v>#REF!</v>
      </c>
      <c r="Z7" s="7" t="e">
        <f>SUM(F7/(1-#REF!)*1.2,1)</f>
        <v>#REF!</v>
      </c>
      <c r="AA7" s="8"/>
      <c r="AB7" s="9" t="e">
        <f>SUM(H7/(1-#REF!)*1.2,1)</f>
        <v>#REF!</v>
      </c>
      <c r="AC7" s="10" t="e">
        <f>SUM(I7/(1-#REF!)*1.2,1)</f>
        <v>#REF!</v>
      </c>
      <c r="AD7" s="10" t="e">
        <f>SUM(J7/(1-#REF!)*1.2,1)</f>
        <v>#REF!</v>
      </c>
      <c r="AE7" s="11" t="e">
        <f>SUM(K7/(1-#REF!)*1.2,1)</f>
        <v>#REF!</v>
      </c>
      <c r="AF7" s="88"/>
      <c r="AG7" s="5">
        <f>ROUNDDOWN(C7/(1-$AJ$2)*1.2,1)</f>
        <v>25.2</v>
      </c>
      <c r="AH7" s="6">
        <f>ROUNDDOWN(D7/(1-$AJ$2)*1.2,1)</f>
        <v>31.2</v>
      </c>
      <c r="AI7" s="6">
        <f>ROUNDDOWN(E7/(1-$AJ$2)*1.2,1)</f>
        <v>65.400000000000006</v>
      </c>
      <c r="AJ7" s="107">
        <f>ROUNDDOWN(F7/(1-$AJ$2)*1.2,1)</f>
        <v>74.5</v>
      </c>
      <c r="AK7" s="108"/>
      <c r="AL7" s="109">
        <f>ROUNDDOWN(H7/(1-$AJ$2)*1.2,1)</f>
        <v>37.200000000000003</v>
      </c>
      <c r="AM7" s="10">
        <f t="shared" ref="AM7:AO12" si="0">ROUNDDOWN(I7/(1-$AJ$2)*1.2,1)</f>
        <v>49.7</v>
      </c>
      <c r="AN7" s="10">
        <f t="shared" si="0"/>
        <v>79.900000000000006</v>
      </c>
      <c r="AO7" s="11">
        <f t="shared" si="0"/>
        <v>87.8</v>
      </c>
      <c r="AP7" s="88"/>
      <c r="AQ7" s="32" t="s">
        <v>116</v>
      </c>
      <c r="AR7" s="67">
        <f>N7</f>
        <v>17.16</v>
      </c>
      <c r="AS7" s="64">
        <f>AT7-AR7</f>
        <v>17.16</v>
      </c>
      <c r="AT7" s="56">
        <f>AR7*2</f>
        <v>34.32</v>
      </c>
      <c r="AU7" s="65">
        <f>AV7-AT7</f>
        <v>34.32</v>
      </c>
      <c r="AV7" s="58">
        <f>AT7*2</f>
        <v>68.64</v>
      </c>
      <c r="AW7" s="64" t="e">
        <f>#REF!</f>
        <v>#REF!</v>
      </c>
      <c r="AX7" s="56" t="e">
        <f>AV7+AW7</f>
        <v>#REF!</v>
      </c>
      <c r="AY7" s="65" t="e">
        <f>#REF!</f>
        <v>#REF!</v>
      </c>
      <c r="AZ7" s="58" t="e">
        <f>AX7+AY7</f>
        <v>#REF!</v>
      </c>
      <c r="BA7" s="67">
        <f>AR7*0.15</f>
        <v>2.5739999999999998</v>
      </c>
      <c r="BB7" s="56" t="e">
        <f>AZ7-BA7</f>
        <v>#REF!</v>
      </c>
    </row>
    <row r="8" spans="1:54" ht="14.45" customHeight="1" x14ac:dyDescent="0.25">
      <c r="A8" s="222"/>
      <c r="B8" s="27" t="s">
        <v>24</v>
      </c>
      <c r="C8" s="112">
        <f>'ST Inc Cruise from 24 Feb 26'!C6</f>
        <v>10.98</v>
      </c>
      <c r="D8" s="113">
        <f>'ST Inc Cruise from 24 Feb 26'!C13</f>
        <v>16.43</v>
      </c>
      <c r="E8" s="113">
        <f>'ST Inc Cruise from 24 Feb 26'!C21</f>
        <v>32.409999999999997</v>
      </c>
      <c r="F8" s="114">
        <f>'ST Inc Cruise from 24 Feb 26'!C29</f>
        <v>37.159999999999997</v>
      </c>
      <c r="G8" s="108"/>
      <c r="H8" s="115">
        <f>'ST Inc Cruise from 24 Feb 26'!D6</f>
        <v>16.239999999999998</v>
      </c>
      <c r="I8" s="116">
        <f>'ST Inc Cruise from 24 Feb 26'!D13</f>
        <v>24.62</v>
      </c>
      <c r="J8" s="116">
        <f>'ST Inc Cruise from 24 Feb 26'!D21</f>
        <v>36.880000000000003</v>
      </c>
      <c r="K8" s="117">
        <f>'ST Inc Cruise from 24 Feb 26'!D29</f>
        <v>43.62</v>
      </c>
      <c r="L8" s="8"/>
      <c r="M8" s="112">
        <f>'ST Inc Cruise from 24 Feb 26'!L6</f>
        <v>14.498000000000001</v>
      </c>
      <c r="N8" s="113">
        <f>'ST Inc Cruise from 24 Feb 26'!L13</f>
        <v>21.692</v>
      </c>
      <c r="O8" s="113">
        <f>'ST Inc Cruise from 24 Feb 26'!L21</f>
        <v>42.779000000000003</v>
      </c>
      <c r="P8" s="114">
        <f>'ST Inc Cruise from 24 Feb 26'!L29</f>
        <v>49.049000000000007</v>
      </c>
      <c r="Q8" s="8"/>
      <c r="R8" s="115">
        <f>'ST Inc Cruise from 24 Feb 26'!M6</f>
        <v>21.439</v>
      </c>
      <c r="S8" s="116">
        <f>'ST Inc Cruise from 24 Feb 26'!M13</f>
        <v>32.494</v>
      </c>
      <c r="T8" s="116">
        <f>'ST Inc Cruise from 24 Feb 26'!M21</f>
        <v>48.686</v>
      </c>
      <c r="U8" s="117">
        <f>'ST Inc Cruise from 24 Feb 26'!M29</f>
        <v>57.574000000000005</v>
      </c>
      <c r="W8" s="12" t="e">
        <f>SUM(C8/(1-#REF!)*1.2,1)</f>
        <v>#REF!</v>
      </c>
      <c r="X8" s="13" t="e">
        <f>SUM(D8/(1-#REF!)*1.2,1)</f>
        <v>#REF!</v>
      </c>
      <c r="Y8" s="13" t="e">
        <f>SUM(E8/(1-#REF!)*1.2,1)</f>
        <v>#REF!</v>
      </c>
      <c r="Z8" s="14" t="e">
        <f>SUM(F8/(1-#REF!)*1.2,1)</f>
        <v>#REF!</v>
      </c>
      <c r="AA8" s="8"/>
      <c r="AB8" s="15" t="e">
        <f>SUM(H8/(1-#REF!)*1.2,1)</f>
        <v>#REF!</v>
      </c>
      <c r="AC8" s="16" t="e">
        <f>SUM(I8/(1-#REF!)*1.2,1)</f>
        <v>#REF!</v>
      </c>
      <c r="AD8" s="16" t="e">
        <f>SUM(J8/(1-#REF!)*1.2,1)</f>
        <v>#REF!</v>
      </c>
      <c r="AE8" s="17" t="e">
        <f>SUM(K8/(1-#REF!)*1.2,1)</f>
        <v>#REF!</v>
      </c>
      <c r="AF8" s="88"/>
      <c r="AG8" s="12">
        <f t="shared" ref="AG8:AJ12" si="1">ROUNDDOWN(C8/(1-$AJ$2)*1.2,1)</f>
        <v>26.3</v>
      </c>
      <c r="AH8" s="13">
        <f t="shared" si="1"/>
        <v>39.4</v>
      </c>
      <c r="AI8" s="13">
        <f t="shared" si="1"/>
        <v>77.7</v>
      </c>
      <c r="AJ8" s="114">
        <f t="shared" si="1"/>
        <v>89.1</v>
      </c>
      <c r="AK8" s="108"/>
      <c r="AL8" s="115">
        <f t="shared" ref="AL8:AL11" si="2">ROUNDDOWN(H8/(1-$AJ$2)*1.2,1)</f>
        <v>38.9</v>
      </c>
      <c r="AM8" s="16">
        <f t="shared" si="0"/>
        <v>59</v>
      </c>
      <c r="AN8" s="16">
        <f t="shared" si="0"/>
        <v>88.5</v>
      </c>
      <c r="AO8" s="17">
        <f t="shared" si="0"/>
        <v>104.6</v>
      </c>
      <c r="AP8" s="88"/>
      <c r="AQ8" s="73" t="s">
        <v>117</v>
      </c>
      <c r="AR8" s="68">
        <f>D7</f>
        <v>13</v>
      </c>
      <c r="AS8" s="69">
        <f>AT8-AR8</f>
        <v>13</v>
      </c>
      <c r="AT8" s="70">
        <f>AR8*2</f>
        <v>26</v>
      </c>
      <c r="AU8" s="71">
        <f>AV8-AT8</f>
        <v>26</v>
      </c>
      <c r="AV8" s="72">
        <f>AT8*2</f>
        <v>52</v>
      </c>
      <c r="AW8" s="69" t="e">
        <f>#REF!</f>
        <v>#REF!</v>
      </c>
      <c r="AX8" s="70" t="e">
        <f>AV8+AW8</f>
        <v>#REF!</v>
      </c>
      <c r="AY8" s="71" t="e">
        <f>#REF!</f>
        <v>#REF!</v>
      </c>
      <c r="AZ8" s="72" t="e">
        <f>AX8+AY8</f>
        <v>#REF!</v>
      </c>
      <c r="BA8" s="68">
        <f>AR8*0.15</f>
        <v>1.95</v>
      </c>
      <c r="BB8" s="70" t="e">
        <f>AZ8-BA8</f>
        <v>#REF!</v>
      </c>
    </row>
    <row r="9" spans="1:54" ht="14.45" customHeight="1" x14ac:dyDescent="0.25">
      <c r="A9" s="222"/>
      <c r="B9" s="27" t="s">
        <v>25</v>
      </c>
      <c r="C9" s="112">
        <f>'ST Inc Cruise from 24 Feb 26'!C7</f>
        <v>12.01</v>
      </c>
      <c r="D9" s="113">
        <f>'ST Inc Cruise from 24 Feb 26'!C14</f>
        <v>19.16</v>
      </c>
      <c r="E9" s="113">
        <f>'ST Inc Cruise from 24 Feb 26'!C22</f>
        <v>39.1</v>
      </c>
      <c r="F9" s="114">
        <f>'ST Inc Cruise from 24 Feb 26'!C30</f>
        <v>45.37</v>
      </c>
      <c r="G9" s="108"/>
      <c r="H9" s="115">
        <f>'ST Inc Cruise from 24 Feb 26'!D7</f>
        <v>17.829999999999998</v>
      </c>
      <c r="I9" s="116">
        <f>'ST Inc Cruise from 24 Feb 26'!D14</f>
        <v>27.48</v>
      </c>
      <c r="J9" s="116">
        <f>'ST Inc Cruise from 24 Feb 26'!D22</f>
        <v>44.87</v>
      </c>
      <c r="K9" s="117">
        <f>'ST Inc Cruise from 24 Feb 26'!D30</f>
        <v>50.19</v>
      </c>
      <c r="L9" s="8"/>
      <c r="M9" s="112">
        <f>'ST Inc Cruise from 24 Feb 26'!L7</f>
        <v>15.851000000000001</v>
      </c>
      <c r="N9" s="113">
        <f>'ST Inc Cruise from 24 Feb 26'!L14</f>
        <v>25.289000000000001</v>
      </c>
      <c r="O9" s="113">
        <f>'ST Inc Cruise from 24 Feb 26'!L22</f>
        <v>51.612000000000009</v>
      </c>
      <c r="P9" s="114">
        <f>'ST Inc Cruise from 24 Feb 26'!L30</f>
        <v>59.884</v>
      </c>
      <c r="Q9" s="8"/>
      <c r="R9" s="115">
        <f>'ST Inc Cruise from 24 Feb 26'!M7</f>
        <v>23.54</v>
      </c>
      <c r="S9" s="116">
        <f>'ST Inc Cruise from 24 Feb 26'!M14</f>
        <v>36.277999999999999</v>
      </c>
      <c r="T9" s="116">
        <f>'ST Inc Cruise from 24 Feb 26'!M22</f>
        <v>59.224000000000011</v>
      </c>
      <c r="U9" s="117">
        <f>'ST Inc Cruise from 24 Feb 26'!M30</f>
        <v>66.253</v>
      </c>
      <c r="W9" s="12" t="e">
        <f>SUM(C9/(1-#REF!)*1.2,1)</f>
        <v>#REF!</v>
      </c>
      <c r="X9" s="13" t="e">
        <f>SUM(D9/(1-#REF!)*1.2,1)</f>
        <v>#REF!</v>
      </c>
      <c r="Y9" s="13" t="e">
        <f>SUM(E9/(1-#REF!)*1.2,1)</f>
        <v>#REF!</v>
      </c>
      <c r="Z9" s="14" t="e">
        <f>SUM(F9/(1-#REF!)*1.2,1)</f>
        <v>#REF!</v>
      </c>
      <c r="AA9" s="8"/>
      <c r="AB9" s="15" t="e">
        <f>SUM(H9/(1-#REF!)*1.2,1)</f>
        <v>#REF!</v>
      </c>
      <c r="AC9" s="16" t="e">
        <f>SUM(I9/(1-#REF!)*1.2,1)</f>
        <v>#REF!</v>
      </c>
      <c r="AD9" s="16" t="e">
        <f>SUM(J9/(1-#REF!)*1.2,1)</f>
        <v>#REF!</v>
      </c>
      <c r="AE9" s="17" t="e">
        <f>SUM(K9/(1-#REF!)*1.2,1)</f>
        <v>#REF!</v>
      </c>
      <c r="AF9" s="88"/>
      <c r="AG9" s="12">
        <f t="shared" si="1"/>
        <v>28.8</v>
      </c>
      <c r="AH9" s="13">
        <f t="shared" si="1"/>
        <v>45.9</v>
      </c>
      <c r="AI9" s="13">
        <f t="shared" si="1"/>
        <v>93.8</v>
      </c>
      <c r="AJ9" s="114">
        <f t="shared" si="1"/>
        <v>108.8</v>
      </c>
      <c r="AK9" s="108"/>
      <c r="AL9" s="115">
        <f t="shared" si="2"/>
        <v>42.7</v>
      </c>
      <c r="AM9" s="16">
        <f t="shared" si="0"/>
        <v>65.900000000000006</v>
      </c>
      <c r="AN9" s="16">
        <f t="shared" si="0"/>
        <v>107.6</v>
      </c>
      <c r="AO9" s="17">
        <f t="shared" si="0"/>
        <v>120.4</v>
      </c>
      <c r="AP9" s="88"/>
      <c r="AR9" s="37"/>
    </row>
    <row r="10" spans="1:54" ht="14.45" customHeight="1" x14ac:dyDescent="0.25">
      <c r="A10" s="222"/>
      <c r="B10" s="27" t="s">
        <v>26</v>
      </c>
      <c r="C10" s="112">
        <f>'ST Inc Cruise from 24 Feb 26'!C8</f>
        <v>13.14</v>
      </c>
      <c r="D10" s="113">
        <f>'ST Inc Cruise from 24 Feb 26'!C15</f>
        <v>24.97</v>
      </c>
      <c r="E10" s="113">
        <f>'ST Inc Cruise from 24 Feb 26'!C23</f>
        <v>47.8</v>
      </c>
      <c r="F10" s="114">
        <f>'ST Inc Cruise from 24 Feb 26'!C31</f>
        <v>56.33</v>
      </c>
      <c r="G10" s="108"/>
      <c r="H10" s="115">
        <f>'ST Inc Cruise from 24 Feb 26'!D8</f>
        <v>19.53</v>
      </c>
      <c r="I10" s="116">
        <f>'ST Inc Cruise from 24 Feb 26'!D15</f>
        <v>34.78</v>
      </c>
      <c r="J10" s="116">
        <f>'ST Inc Cruise from 24 Feb 26'!D23</f>
        <v>54.86</v>
      </c>
      <c r="K10" s="117">
        <f>'ST Inc Cruise from 24 Feb 26'!D31</f>
        <v>64.45</v>
      </c>
      <c r="L10" s="8"/>
      <c r="M10" s="112">
        <f>'ST Inc Cruise from 24 Feb 26'!L8</f>
        <v>17.347000000000001</v>
      </c>
      <c r="N10" s="113">
        <f>'ST Inc Cruise from 24 Feb 26'!L15</f>
        <v>32.956000000000003</v>
      </c>
      <c r="O10" s="113">
        <f>'ST Inc Cruise from 24 Feb 26'!L23</f>
        <v>63.096000000000004</v>
      </c>
      <c r="P10" s="114">
        <f>'ST Inc Cruise from 24 Feb 26'!L31</f>
        <v>74.36</v>
      </c>
      <c r="Q10" s="8"/>
      <c r="R10" s="115">
        <f>'ST Inc Cruise from 24 Feb 26'!M8</f>
        <v>25.784000000000002</v>
      </c>
      <c r="S10" s="116">
        <f>'ST Inc Cruise from 24 Feb 26'!M15</f>
        <v>45.914000000000009</v>
      </c>
      <c r="T10" s="116">
        <f>'ST Inc Cruise from 24 Feb 26'!M23</f>
        <v>72.413000000000011</v>
      </c>
      <c r="U10" s="117">
        <f>'ST Inc Cruise from 24 Feb 26'!M31</f>
        <v>85.074000000000012</v>
      </c>
      <c r="W10" s="12" t="e">
        <f>SUM(C10/(1-#REF!)*1.2,1)</f>
        <v>#REF!</v>
      </c>
      <c r="X10" s="13" t="e">
        <f>SUM(D10/(1-#REF!)*1.2,1)</f>
        <v>#REF!</v>
      </c>
      <c r="Y10" s="13" t="e">
        <f>SUM(E10/(1-#REF!)*1.2,1)</f>
        <v>#REF!</v>
      </c>
      <c r="Z10" s="14" t="e">
        <f>SUM(F10/(1-#REF!)*1.2,1)</f>
        <v>#REF!</v>
      </c>
      <c r="AA10" s="8"/>
      <c r="AB10" s="15" t="e">
        <f>SUM(H10/(1-#REF!)*1.2,1)</f>
        <v>#REF!</v>
      </c>
      <c r="AC10" s="16" t="e">
        <f>SUM(I10/(1-#REF!)*1.2,1)</f>
        <v>#REF!</v>
      </c>
      <c r="AD10" s="16" t="e">
        <f>SUM(J10/(1-#REF!)*1.2,1)</f>
        <v>#REF!</v>
      </c>
      <c r="AE10" s="17" t="e">
        <f>SUM(K10/(1-#REF!)*1.2,1)</f>
        <v>#REF!</v>
      </c>
      <c r="AF10" s="88"/>
      <c r="AG10" s="12">
        <f t="shared" si="1"/>
        <v>31.5</v>
      </c>
      <c r="AH10" s="13">
        <f t="shared" si="1"/>
        <v>59.9</v>
      </c>
      <c r="AI10" s="13">
        <f t="shared" si="1"/>
        <v>114.7</v>
      </c>
      <c r="AJ10" s="114">
        <f t="shared" si="1"/>
        <v>135.1</v>
      </c>
      <c r="AK10" s="108"/>
      <c r="AL10" s="115">
        <f t="shared" si="2"/>
        <v>46.8</v>
      </c>
      <c r="AM10" s="16">
        <f t="shared" si="0"/>
        <v>83.4</v>
      </c>
      <c r="AN10" s="16">
        <f t="shared" si="0"/>
        <v>131.6</v>
      </c>
      <c r="AO10" s="17">
        <f t="shared" si="0"/>
        <v>154.6</v>
      </c>
      <c r="AP10" s="88"/>
      <c r="AR10" s="37"/>
      <c r="AS10" s="37"/>
      <c r="AT10" s="37"/>
      <c r="AU10" s="37"/>
      <c r="AV10" s="37"/>
      <c r="AW10" s="37"/>
      <c r="AX10" s="37"/>
      <c r="AY10" s="37"/>
      <c r="AZ10" s="37"/>
      <c r="BA10" s="56"/>
      <c r="BB10" s="56"/>
    </row>
    <row r="11" spans="1:54" ht="14.45" customHeight="1" x14ac:dyDescent="0.25">
      <c r="A11" s="222"/>
      <c r="B11" s="27" t="s">
        <v>27</v>
      </c>
      <c r="C11" s="112">
        <f>'ST Inc Cruise from 24 Feb 26'!C9</f>
        <v>13.16</v>
      </c>
      <c r="D11" s="113">
        <f>'ST Inc Cruise from 24 Feb 26'!C16</f>
        <v>29.27</v>
      </c>
      <c r="E11" s="113">
        <f>'ST Inc Cruise from 24 Feb 26'!C24</f>
        <v>53.46</v>
      </c>
      <c r="F11" s="114">
        <f>'ST Inc Cruise from 24 Feb 26'!C32</f>
        <v>61.91</v>
      </c>
      <c r="G11" s="108"/>
      <c r="H11" s="115">
        <f>'ST Inc Cruise from 24 Feb 26'!D9</f>
        <v>19.54</v>
      </c>
      <c r="I11" s="116">
        <f>'ST Inc Cruise from 24 Feb 26'!D16</f>
        <v>40.57</v>
      </c>
      <c r="J11" s="116">
        <f>'ST Inc Cruise from 24 Feb 26'!D24</f>
        <v>60.34</v>
      </c>
      <c r="K11" s="117">
        <f>'ST Inc Cruise from 24 Feb 26'!D32</f>
        <v>69.59</v>
      </c>
      <c r="L11" s="8"/>
      <c r="M11" s="112">
        <f>'ST Inc Cruise from 24 Feb 26'!L9</f>
        <v>17.369</v>
      </c>
      <c r="N11" s="113">
        <f>'ST Inc Cruise from 24 Feb 26'!L16</f>
        <v>38.631999999999998</v>
      </c>
      <c r="O11" s="113">
        <f>'ST Inc Cruise from 24 Feb 26'!L24</f>
        <v>70.565000000000012</v>
      </c>
      <c r="P11" s="114">
        <f>'ST Inc Cruise from 24 Feb 26'!L32</f>
        <v>81.719000000000008</v>
      </c>
      <c r="Q11" s="8"/>
      <c r="R11" s="115">
        <f>'ST Inc Cruise from 24 Feb 26'!M9</f>
        <v>25.795000000000002</v>
      </c>
      <c r="S11" s="116">
        <f>'ST Inc Cruise from 24 Feb 26'!M16</f>
        <v>53.548000000000002</v>
      </c>
      <c r="T11" s="116">
        <f>'ST Inc Cruise from 24 Feb 26'!M24</f>
        <v>79.650999999999996</v>
      </c>
      <c r="U11" s="117">
        <f>'ST Inc Cruise from 24 Feb 26'!M32</f>
        <v>91.861000000000018</v>
      </c>
      <c r="W11" s="12" t="e">
        <f>SUM(C11/(1-#REF!)*1.2,1)</f>
        <v>#REF!</v>
      </c>
      <c r="X11" s="13" t="e">
        <f>SUM(D11/(1-#REF!)*1.2,1)</f>
        <v>#REF!</v>
      </c>
      <c r="Y11" s="13" t="e">
        <f>SUM(E11/(1-#REF!)*1.2,1)</f>
        <v>#REF!</v>
      </c>
      <c r="Z11" s="14" t="e">
        <f>SUM(F11/(1-#REF!)*1.2,1)</f>
        <v>#REF!</v>
      </c>
      <c r="AA11" s="8"/>
      <c r="AB11" s="15" t="e">
        <f>SUM(H11/(1-#REF!)*1.2,1)</f>
        <v>#REF!</v>
      </c>
      <c r="AC11" s="16" t="e">
        <f>SUM(I11/(1-#REF!)*1.2,1)</f>
        <v>#REF!</v>
      </c>
      <c r="AD11" s="16" t="e">
        <f>SUM(J11/(1-#REF!)*1.2,1)</f>
        <v>#REF!</v>
      </c>
      <c r="AE11" s="17" t="e">
        <f>SUM(K11/(1-#REF!)*1.2,1)</f>
        <v>#REF!</v>
      </c>
      <c r="AF11" s="88"/>
      <c r="AG11" s="112">
        <f t="shared" si="1"/>
        <v>31.5</v>
      </c>
      <c r="AH11" s="13">
        <f t="shared" si="1"/>
        <v>70.2</v>
      </c>
      <c r="AI11" s="13">
        <f t="shared" si="1"/>
        <v>128.30000000000001</v>
      </c>
      <c r="AJ11" s="114">
        <f t="shared" si="1"/>
        <v>148.5</v>
      </c>
      <c r="AK11" s="108"/>
      <c r="AL11" s="115">
        <f t="shared" si="2"/>
        <v>46.8</v>
      </c>
      <c r="AM11" s="16">
        <f t="shared" si="0"/>
        <v>97.3</v>
      </c>
      <c r="AN11" s="16">
        <f t="shared" si="0"/>
        <v>144.80000000000001</v>
      </c>
      <c r="AO11" s="17">
        <f t="shared" si="0"/>
        <v>167</v>
      </c>
      <c r="AP11" s="88"/>
    </row>
    <row r="12" spans="1:54" ht="14.45" customHeight="1" thickBot="1" x14ac:dyDescent="0.3">
      <c r="A12" s="223"/>
      <c r="B12" s="27" t="s">
        <v>29</v>
      </c>
      <c r="C12" s="112" t="s">
        <v>118</v>
      </c>
      <c r="D12" s="113">
        <f>'ST Inc Cruise from 24 Feb 26'!C17</f>
        <v>3.76</v>
      </c>
      <c r="E12" s="113">
        <f>'ST Inc Cruise from 24 Feb 26'!C25</f>
        <v>7.26</v>
      </c>
      <c r="F12" s="114">
        <f>'ST Inc Cruise from 24 Feb 26'!C33</f>
        <v>9.8000000000000007</v>
      </c>
      <c r="G12" s="108"/>
      <c r="H12" s="115" t="s">
        <v>118</v>
      </c>
      <c r="I12" s="116">
        <f>'ST Inc Cruise from 24 Feb 26'!D17</f>
        <v>5.1100000000000003</v>
      </c>
      <c r="J12" s="116">
        <f>'ST Inc Cruise from 24 Feb 26'!D25</f>
        <v>7.94</v>
      </c>
      <c r="K12" s="117">
        <f>'ST Inc Cruise from 24 Feb 26'!D33</f>
        <v>10.61</v>
      </c>
      <c r="L12" s="8"/>
      <c r="M12" s="112" t="s">
        <v>118</v>
      </c>
      <c r="N12" s="113">
        <f>'ST Inc Cruise from 24 Feb 26'!L17</f>
        <v>4.9610000000000003</v>
      </c>
      <c r="O12" s="113">
        <f>'ST Inc Cruise from 24 Feb 26'!L25</f>
        <v>9.5810000000000013</v>
      </c>
      <c r="P12" s="114">
        <f>'ST Inc Cruise from 24 Feb 26'!L33</f>
        <v>12.936</v>
      </c>
      <c r="Q12" s="8"/>
      <c r="R12" s="115" t="s">
        <v>118</v>
      </c>
      <c r="S12" s="116">
        <f>'ST Inc Cruise from 24 Feb 26'!M17</f>
        <v>6.7430000000000003</v>
      </c>
      <c r="T12" s="116">
        <f>'ST Inc Cruise from 24 Feb 26'!M25</f>
        <v>10.483000000000001</v>
      </c>
      <c r="U12" s="117">
        <f>'ST Inc Cruise from 24 Feb 26'!M33</f>
        <v>14.003000000000002</v>
      </c>
      <c r="W12" s="12" t="s">
        <v>118</v>
      </c>
      <c r="X12" s="13" t="e">
        <f>SUM(D12/(1-#REF!)*1.2,1)</f>
        <v>#REF!</v>
      </c>
      <c r="Y12" s="13" t="e">
        <f>SUM(E12/(1-#REF!)*1.2,1)</f>
        <v>#REF!</v>
      </c>
      <c r="Z12" s="14" t="e">
        <f>SUM(F12/(1-#REF!)*1.2,1)</f>
        <v>#REF!</v>
      </c>
      <c r="AA12" s="8"/>
      <c r="AB12" s="15" t="s">
        <v>118</v>
      </c>
      <c r="AC12" s="16" t="e">
        <f>SUM(I12/(1-#REF!)*1.2,1)</f>
        <v>#REF!</v>
      </c>
      <c r="AD12" s="16" t="e">
        <f>SUM(J12/(1-#REF!)*1.2,1)</f>
        <v>#REF!</v>
      </c>
      <c r="AE12" s="17" t="e">
        <f>SUM(K12/(1-#REF!)*1.2,1)</f>
        <v>#REF!</v>
      </c>
      <c r="AF12" s="88"/>
      <c r="AG12" s="112" t="s">
        <v>118</v>
      </c>
      <c r="AH12" s="13">
        <f t="shared" si="1"/>
        <v>9</v>
      </c>
      <c r="AI12" s="13">
        <f t="shared" si="1"/>
        <v>17.399999999999999</v>
      </c>
      <c r="AJ12" s="114">
        <f t="shared" si="1"/>
        <v>23.5</v>
      </c>
      <c r="AK12" s="108"/>
      <c r="AL12" s="115" t="s">
        <v>118</v>
      </c>
      <c r="AM12" s="16">
        <f t="shared" si="0"/>
        <v>12.2</v>
      </c>
      <c r="AN12" s="16">
        <f t="shared" si="0"/>
        <v>19</v>
      </c>
      <c r="AO12" s="17">
        <f t="shared" si="0"/>
        <v>25.4</v>
      </c>
      <c r="AP12" s="88"/>
    </row>
    <row r="13" spans="1:54" ht="5.0999999999999996" customHeight="1" thickBot="1" x14ac:dyDescent="0.3"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W13" s="8"/>
      <c r="X13" s="8"/>
      <c r="Y13" s="8"/>
      <c r="Z13" s="8"/>
      <c r="AA13" s="8"/>
      <c r="AB13" s="8"/>
      <c r="AC13" s="8"/>
      <c r="AD13" s="8"/>
      <c r="AE13" s="8"/>
      <c r="AF13" s="89"/>
      <c r="AG13" s="108"/>
      <c r="AH13" s="108"/>
      <c r="AI13" s="108"/>
      <c r="AJ13" s="108"/>
      <c r="AK13" s="108"/>
      <c r="AL13" s="108"/>
      <c r="AM13" s="108"/>
      <c r="AN13" s="108"/>
      <c r="AO13" s="108"/>
      <c r="AP13" s="89"/>
    </row>
    <row r="14" spans="1:54" ht="15.75" thickBot="1" x14ac:dyDescent="0.3">
      <c r="B14" s="28" t="s">
        <v>119</v>
      </c>
      <c r="C14" s="29">
        <v>1.0900000000000001</v>
      </c>
      <c r="D14" s="28"/>
      <c r="E14" s="28"/>
      <c r="F14" s="28"/>
      <c r="G14" s="28"/>
      <c r="H14" s="29">
        <v>1.0900000000000001</v>
      </c>
      <c r="I14" s="28"/>
      <c r="J14" s="28"/>
      <c r="K14" s="28"/>
      <c r="L14" s="28"/>
      <c r="M14" s="29">
        <v>1.0900000000000001</v>
      </c>
      <c r="N14" s="28"/>
      <c r="O14" s="28"/>
      <c r="P14" s="28"/>
      <c r="Q14" s="28"/>
      <c r="R14" s="29">
        <v>1.0900000000000001</v>
      </c>
      <c r="S14" s="8"/>
      <c r="T14" s="8"/>
      <c r="W14" s="31">
        <v>1.0798000000000001</v>
      </c>
      <c r="X14" s="28"/>
      <c r="Y14" s="28"/>
      <c r="Z14" s="28"/>
      <c r="AA14" s="28"/>
      <c r="AB14" s="31">
        <v>1.0798000000000001</v>
      </c>
      <c r="AC14" s="8"/>
      <c r="AD14" s="8"/>
      <c r="AG14" s="108"/>
      <c r="AH14" s="108"/>
      <c r="AI14" s="108"/>
      <c r="AJ14" s="108"/>
      <c r="AK14" s="108"/>
      <c r="AL14" s="108"/>
      <c r="AM14" s="108"/>
      <c r="AN14" s="108"/>
      <c r="AS14" s="32"/>
      <c r="AT14" s="56"/>
      <c r="AU14" s="56"/>
      <c r="AV14" s="56"/>
      <c r="AW14" s="56"/>
      <c r="AX14" s="56"/>
      <c r="AY14" s="56"/>
      <c r="AZ14" s="56"/>
    </row>
    <row r="15" spans="1:54" ht="14.45" customHeight="1" x14ac:dyDescent="0.25">
      <c r="A15" s="221" t="s">
        <v>120</v>
      </c>
      <c r="B15" s="26" t="s">
        <v>23</v>
      </c>
      <c r="C15" s="105">
        <f t="shared" ref="C15:C20" si="3">IFERROR(C7*C$14,"N/A")</f>
        <v>11.4559</v>
      </c>
      <c r="D15" s="106">
        <f t="shared" ref="D15:D20" si="4">IFERROR(D7*C$14,"N/A")</f>
        <v>14.170000000000002</v>
      </c>
      <c r="E15" s="106">
        <f t="shared" ref="E15:E20" si="5">IFERROR(E7*C$14,"N/A")</f>
        <v>29.724300000000003</v>
      </c>
      <c r="F15" s="107">
        <f t="shared" ref="F15:F20" si="6">IFERROR(F7*C$14,"N/A")</f>
        <v>33.866300000000003</v>
      </c>
      <c r="G15" s="108"/>
      <c r="H15" s="109">
        <f t="shared" ref="H15:H20" si="7">IFERROR(H7*H$14,"N/A")</f>
        <v>16.905900000000003</v>
      </c>
      <c r="I15" s="110">
        <f t="shared" ref="I15:I20" si="8">IFERROR(I7*H$14,"N/A")</f>
        <v>22.6066</v>
      </c>
      <c r="J15" s="110">
        <f t="shared" ref="J15:J20" si="9">IFERROR(J7*H$14,"N/A")</f>
        <v>36.318800000000003</v>
      </c>
      <c r="K15" s="111">
        <f t="shared" ref="K15:K20" si="10">IFERROR(K7*H$14,"N/A")</f>
        <v>39.915799999999997</v>
      </c>
      <c r="L15" s="8"/>
      <c r="M15" s="5">
        <f t="shared" ref="M15:M20" si="11">IFERROR(M7*M$14,"N/A")</f>
        <v>15.119390000000001</v>
      </c>
      <c r="N15" s="6">
        <f t="shared" ref="N15:N20" si="12">IFERROR(N7*M$14,"N/A")</f>
        <v>18.704400000000003</v>
      </c>
      <c r="O15" s="6">
        <f t="shared" ref="O15:O20" si="13">IFERROR(O7*M$14,"N/A")</f>
        <v>39.231280000000005</v>
      </c>
      <c r="P15" s="7">
        <f t="shared" ref="P15:P20" si="14">IFERROR(P7*M$14,"N/A")</f>
        <v>44.698720000000009</v>
      </c>
      <c r="Q15" s="8"/>
      <c r="R15" s="9">
        <f t="shared" ref="R15:R20" si="15">IFERROR(R7*R$14,"N/A")</f>
        <v>22.313390000000002</v>
      </c>
      <c r="S15" s="10">
        <f t="shared" ref="S15:S20" si="16">IFERROR(S7*R$14,"N/A")</f>
        <v>29.843110000000003</v>
      </c>
      <c r="T15" s="10">
        <f t="shared" ref="T15:T20" si="17">IFERROR(T7*R$14,"N/A")</f>
        <v>47.936020000000006</v>
      </c>
      <c r="U15" s="11">
        <f t="shared" ref="U15:U20" si="18">IFERROR(U7*R$14,"N/A")</f>
        <v>52.684060000000009</v>
      </c>
      <c r="W15" s="5" t="str">
        <f t="shared" ref="W15:W20" si="19">IFERROR(W7*W$14,"N/A")</f>
        <v>N/A</v>
      </c>
      <c r="X15" s="6" t="str">
        <f t="shared" ref="X15:X20" si="20">IFERROR(X7*W$14,"N/A")</f>
        <v>N/A</v>
      </c>
      <c r="Y15" s="6" t="str">
        <f t="shared" ref="Y15:Y20" si="21">IFERROR(Y7*W$14,"N/A")</f>
        <v>N/A</v>
      </c>
      <c r="Z15" s="7" t="str">
        <f t="shared" ref="Z15:Z20" si="22">IFERROR(Z7*W$14,"N/A")</f>
        <v>N/A</v>
      </c>
      <c r="AA15" s="8"/>
      <c r="AB15" s="9" t="str">
        <f t="shared" ref="AB15:AB20" si="23">IFERROR(AB7*AB$14,"N/A")</f>
        <v>N/A</v>
      </c>
      <c r="AC15" s="10" t="str">
        <f t="shared" ref="AC15:AC20" si="24">IFERROR(AC7*AB$14,"N/A")</f>
        <v>N/A</v>
      </c>
      <c r="AD15" s="10" t="str">
        <f t="shared" ref="AD15:AD20" si="25">IFERROR(AD7*AB$14,"N/A")</f>
        <v>N/A</v>
      </c>
      <c r="AE15" s="11" t="str">
        <f t="shared" ref="AE15:AE20" si="26">IFERROR(AE7*AB$14,"N/A")</f>
        <v>N/A</v>
      </c>
      <c r="AF15" s="88"/>
      <c r="AG15" s="5">
        <f t="shared" ref="AG15:AJ19" si="27">ROUNDDOWN(AG7*$C$14,1)</f>
        <v>27.4</v>
      </c>
      <c r="AH15" s="6">
        <f t="shared" si="27"/>
        <v>34</v>
      </c>
      <c r="AI15" s="6">
        <f t="shared" si="27"/>
        <v>71.2</v>
      </c>
      <c r="AJ15" s="107">
        <f t="shared" si="27"/>
        <v>81.2</v>
      </c>
      <c r="AK15" s="108"/>
      <c r="AL15" s="109">
        <f t="shared" ref="AL15:AO19" si="28">ROUNDDOWN(AL7*$C$14,1)</f>
        <v>40.5</v>
      </c>
      <c r="AM15" s="10">
        <f t="shared" si="28"/>
        <v>54.1</v>
      </c>
      <c r="AN15" s="10">
        <f t="shared" si="28"/>
        <v>87</v>
      </c>
      <c r="AO15" s="11">
        <f t="shared" si="28"/>
        <v>95.7</v>
      </c>
      <c r="AP15" s="88"/>
      <c r="AS15" s="32"/>
      <c r="AT15" s="56"/>
      <c r="AU15" s="56"/>
      <c r="AV15" s="56"/>
      <c r="AW15" s="56"/>
      <c r="AX15" s="56"/>
      <c r="AY15" s="56"/>
      <c r="AZ15" s="56"/>
    </row>
    <row r="16" spans="1:54" ht="14.45" customHeight="1" x14ac:dyDescent="0.25">
      <c r="A16" s="222"/>
      <c r="B16" s="27" t="s">
        <v>24</v>
      </c>
      <c r="C16" s="112">
        <f t="shared" si="3"/>
        <v>11.968200000000001</v>
      </c>
      <c r="D16" s="113">
        <f t="shared" si="4"/>
        <v>17.9087</v>
      </c>
      <c r="E16" s="113">
        <f t="shared" si="5"/>
        <v>35.326900000000002</v>
      </c>
      <c r="F16" s="114">
        <f t="shared" si="6"/>
        <v>40.504399999999997</v>
      </c>
      <c r="G16" s="108"/>
      <c r="H16" s="115">
        <f t="shared" si="7"/>
        <v>17.701599999999999</v>
      </c>
      <c r="I16" s="116">
        <f t="shared" si="8"/>
        <v>26.835800000000003</v>
      </c>
      <c r="J16" s="116">
        <f t="shared" si="9"/>
        <v>40.199200000000005</v>
      </c>
      <c r="K16" s="117">
        <f t="shared" si="10"/>
        <v>47.5458</v>
      </c>
      <c r="L16" s="8"/>
      <c r="M16" s="12">
        <f t="shared" si="11"/>
        <v>15.802820000000002</v>
      </c>
      <c r="N16" s="13">
        <f t="shared" si="12"/>
        <v>23.644280000000002</v>
      </c>
      <c r="O16" s="13">
        <f t="shared" si="13"/>
        <v>46.629110000000004</v>
      </c>
      <c r="P16" s="14">
        <f t="shared" si="14"/>
        <v>53.46341000000001</v>
      </c>
      <c r="Q16" s="8"/>
      <c r="R16" s="15">
        <f t="shared" si="15"/>
        <v>23.368510000000001</v>
      </c>
      <c r="S16" s="16">
        <f t="shared" si="16"/>
        <v>35.418460000000003</v>
      </c>
      <c r="T16" s="16">
        <f t="shared" si="17"/>
        <v>53.067740000000001</v>
      </c>
      <c r="U16" s="17">
        <f t="shared" si="18"/>
        <v>62.755660000000013</v>
      </c>
      <c r="W16" s="12" t="str">
        <f t="shared" si="19"/>
        <v>N/A</v>
      </c>
      <c r="X16" s="13" t="str">
        <f t="shared" si="20"/>
        <v>N/A</v>
      </c>
      <c r="Y16" s="13" t="str">
        <f t="shared" si="21"/>
        <v>N/A</v>
      </c>
      <c r="Z16" s="14" t="str">
        <f t="shared" si="22"/>
        <v>N/A</v>
      </c>
      <c r="AA16" s="8"/>
      <c r="AB16" s="15" t="str">
        <f t="shared" si="23"/>
        <v>N/A</v>
      </c>
      <c r="AC16" s="16" t="str">
        <f t="shared" si="24"/>
        <v>N/A</v>
      </c>
      <c r="AD16" s="16" t="str">
        <f t="shared" si="25"/>
        <v>N/A</v>
      </c>
      <c r="AE16" s="17" t="str">
        <f t="shared" si="26"/>
        <v>N/A</v>
      </c>
      <c r="AF16" s="88"/>
      <c r="AG16" s="12">
        <f t="shared" si="27"/>
        <v>28.6</v>
      </c>
      <c r="AH16" s="13">
        <f t="shared" si="27"/>
        <v>42.9</v>
      </c>
      <c r="AI16" s="13">
        <f t="shared" si="27"/>
        <v>84.6</v>
      </c>
      <c r="AJ16" s="114">
        <f t="shared" si="27"/>
        <v>97.1</v>
      </c>
      <c r="AK16" s="108"/>
      <c r="AL16" s="115">
        <f t="shared" si="28"/>
        <v>42.4</v>
      </c>
      <c r="AM16" s="16">
        <f t="shared" si="28"/>
        <v>64.3</v>
      </c>
      <c r="AN16" s="16">
        <f t="shared" si="28"/>
        <v>96.4</v>
      </c>
      <c r="AO16" s="17">
        <f t="shared" si="28"/>
        <v>114</v>
      </c>
      <c r="AP16" s="88"/>
      <c r="AQ16" s="37"/>
      <c r="AR16" s="37"/>
      <c r="AS16" s="32"/>
      <c r="AT16" s="56"/>
      <c r="AU16" s="56"/>
      <c r="AV16" s="56"/>
      <c r="AW16" s="56"/>
      <c r="AX16" s="56"/>
      <c r="AY16" s="56"/>
      <c r="AZ16" s="56"/>
    </row>
    <row r="17" spans="1:52" ht="14.45" customHeight="1" x14ac:dyDescent="0.25">
      <c r="A17" s="222"/>
      <c r="B17" s="27" t="s">
        <v>25</v>
      </c>
      <c r="C17" s="112">
        <f t="shared" si="3"/>
        <v>13.090900000000001</v>
      </c>
      <c r="D17" s="113">
        <f t="shared" si="4"/>
        <v>20.884400000000003</v>
      </c>
      <c r="E17" s="113">
        <f t="shared" si="5"/>
        <v>42.619000000000007</v>
      </c>
      <c r="F17" s="114">
        <f t="shared" si="6"/>
        <v>49.453299999999999</v>
      </c>
      <c r="G17" s="108"/>
      <c r="H17" s="115">
        <f t="shared" si="7"/>
        <v>19.434699999999999</v>
      </c>
      <c r="I17" s="116">
        <f t="shared" si="8"/>
        <v>29.953200000000002</v>
      </c>
      <c r="J17" s="116">
        <f t="shared" si="9"/>
        <v>48.908300000000004</v>
      </c>
      <c r="K17" s="117">
        <f t="shared" si="10"/>
        <v>54.707100000000004</v>
      </c>
      <c r="L17" s="8"/>
      <c r="M17" s="12">
        <f t="shared" si="11"/>
        <v>17.277590000000004</v>
      </c>
      <c r="N17" s="13">
        <f t="shared" si="12"/>
        <v>27.565010000000004</v>
      </c>
      <c r="O17" s="13">
        <f t="shared" si="13"/>
        <v>56.257080000000016</v>
      </c>
      <c r="P17" s="14">
        <f t="shared" si="14"/>
        <v>65.273560000000003</v>
      </c>
      <c r="Q17" s="8"/>
      <c r="R17" s="15">
        <f t="shared" si="15"/>
        <v>25.6586</v>
      </c>
      <c r="S17" s="16">
        <f t="shared" si="16"/>
        <v>39.543019999999999</v>
      </c>
      <c r="T17" s="16">
        <f t="shared" si="17"/>
        <v>64.55416000000001</v>
      </c>
      <c r="U17" s="17">
        <f t="shared" si="18"/>
        <v>72.215770000000006</v>
      </c>
      <c r="W17" s="12" t="str">
        <f t="shared" si="19"/>
        <v>N/A</v>
      </c>
      <c r="X17" s="13" t="str">
        <f t="shared" si="20"/>
        <v>N/A</v>
      </c>
      <c r="Y17" s="13" t="str">
        <f t="shared" si="21"/>
        <v>N/A</v>
      </c>
      <c r="Z17" s="14" t="str">
        <f t="shared" si="22"/>
        <v>N/A</v>
      </c>
      <c r="AA17" s="8"/>
      <c r="AB17" s="15" t="str">
        <f t="shared" si="23"/>
        <v>N/A</v>
      </c>
      <c r="AC17" s="16" t="str">
        <f t="shared" si="24"/>
        <v>N/A</v>
      </c>
      <c r="AD17" s="16" t="str">
        <f t="shared" si="25"/>
        <v>N/A</v>
      </c>
      <c r="AE17" s="17" t="str">
        <f t="shared" si="26"/>
        <v>N/A</v>
      </c>
      <c r="AF17" s="88"/>
      <c r="AG17" s="12">
        <f t="shared" si="27"/>
        <v>31.3</v>
      </c>
      <c r="AH17" s="13">
        <f t="shared" si="27"/>
        <v>50</v>
      </c>
      <c r="AI17" s="13">
        <f t="shared" si="27"/>
        <v>102.2</v>
      </c>
      <c r="AJ17" s="114">
        <f t="shared" si="27"/>
        <v>118.5</v>
      </c>
      <c r="AK17" s="108"/>
      <c r="AL17" s="115">
        <f t="shared" si="28"/>
        <v>46.5</v>
      </c>
      <c r="AM17" s="16">
        <f t="shared" si="28"/>
        <v>71.8</v>
      </c>
      <c r="AN17" s="16">
        <f t="shared" si="28"/>
        <v>117.2</v>
      </c>
      <c r="AO17" s="17">
        <f t="shared" si="28"/>
        <v>131.19999999999999</v>
      </c>
      <c r="AP17" s="88"/>
      <c r="AS17" s="32"/>
      <c r="AT17" s="56"/>
      <c r="AU17" s="56"/>
      <c r="AV17" s="56"/>
      <c r="AW17" s="56"/>
      <c r="AX17" s="56"/>
      <c r="AY17" s="56"/>
      <c r="AZ17" s="56"/>
    </row>
    <row r="18" spans="1:52" ht="14.45" customHeight="1" x14ac:dyDescent="0.25">
      <c r="A18" s="222"/>
      <c r="B18" s="27" t="s">
        <v>26</v>
      </c>
      <c r="C18" s="112">
        <f t="shared" si="3"/>
        <v>14.322600000000001</v>
      </c>
      <c r="D18" s="113">
        <f t="shared" si="4"/>
        <v>27.217300000000002</v>
      </c>
      <c r="E18" s="113">
        <f t="shared" si="5"/>
        <v>52.102000000000004</v>
      </c>
      <c r="F18" s="114">
        <f t="shared" si="6"/>
        <v>61.399700000000003</v>
      </c>
      <c r="G18" s="108"/>
      <c r="H18" s="115">
        <f t="shared" si="7"/>
        <v>21.287700000000005</v>
      </c>
      <c r="I18" s="116">
        <f t="shared" si="8"/>
        <v>37.910200000000003</v>
      </c>
      <c r="J18" s="116">
        <f t="shared" si="9"/>
        <v>59.797400000000003</v>
      </c>
      <c r="K18" s="117">
        <f t="shared" si="10"/>
        <v>70.250500000000002</v>
      </c>
      <c r="L18" s="8"/>
      <c r="M18" s="12">
        <f t="shared" si="11"/>
        <v>18.908230000000003</v>
      </c>
      <c r="N18" s="13">
        <f t="shared" si="12"/>
        <v>35.922040000000003</v>
      </c>
      <c r="O18" s="13">
        <f t="shared" si="13"/>
        <v>68.774640000000005</v>
      </c>
      <c r="P18" s="14">
        <f t="shared" si="14"/>
        <v>81.052400000000006</v>
      </c>
      <c r="Q18" s="8"/>
      <c r="R18" s="15">
        <f t="shared" si="15"/>
        <v>28.104560000000006</v>
      </c>
      <c r="S18" s="16">
        <f t="shared" si="16"/>
        <v>50.046260000000011</v>
      </c>
      <c r="T18" s="16">
        <f t="shared" si="17"/>
        <v>78.930170000000018</v>
      </c>
      <c r="U18" s="17">
        <f t="shared" si="18"/>
        <v>92.730660000000015</v>
      </c>
      <c r="W18" s="12" t="str">
        <f t="shared" si="19"/>
        <v>N/A</v>
      </c>
      <c r="X18" s="13" t="str">
        <f t="shared" si="20"/>
        <v>N/A</v>
      </c>
      <c r="Y18" s="13" t="str">
        <f t="shared" si="21"/>
        <v>N/A</v>
      </c>
      <c r="Z18" s="14" t="str">
        <f t="shared" si="22"/>
        <v>N/A</v>
      </c>
      <c r="AA18" s="8"/>
      <c r="AB18" s="15" t="str">
        <f t="shared" si="23"/>
        <v>N/A</v>
      </c>
      <c r="AC18" s="16" t="str">
        <f t="shared" si="24"/>
        <v>N/A</v>
      </c>
      <c r="AD18" s="16" t="str">
        <f t="shared" si="25"/>
        <v>N/A</v>
      </c>
      <c r="AE18" s="17" t="str">
        <f t="shared" si="26"/>
        <v>N/A</v>
      </c>
      <c r="AF18" s="88"/>
      <c r="AG18" s="12">
        <f t="shared" si="27"/>
        <v>34.299999999999997</v>
      </c>
      <c r="AH18" s="13">
        <f t="shared" si="27"/>
        <v>65.2</v>
      </c>
      <c r="AI18" s="13">
        <f t="shared" si="27"/>
        <v>125</v>
      </c>
      <c r="AJ18" s="114">
        <f t="shared" si="27"/>
        <v>147.19999999999999</v>
      </c>
      <c r="AK18" s="108"/>
      <c r="AL18" s="115">
        <f t="shared" si="28"/>
        <v>51</v>
      </c>
      <c r="AM18" s="16">
        <f t="shared" si="28"/>
        <v>90.9</v>
      </c>
      <c r="AN18" s="16">
        <f t="shared" si="28"/>
        <v>143.4</v>
      </c>
      <c r="AO18" s="17">
        <f t="shared" si="28"/>
        <v>168.5</v>
      </c>
      <c r="AP18" s="88"/>
      <c r="AS18" s="32"/>
    </row>
    <row r="19" spans="1:52" ht="14.45" customHeight="1" x14ac:dyDescent="0.25">
      <c r="A19" s="222"/>
      <c r="B19" s="27" t="s">
        <v>27</v>
      </c>
      <c r="C19" s="112">
        <f t="shared" si="3"/>
        <v>14.344400000000002</v>
      </c>
      <c r="D19" s="113">
        <f t="shared" si="4"/>
        <v>31.904300000000003</v>
      </c>
      <c r="E19" s="113">
        <f t="shared" si="5"/>
        <v>58.271400000000007</v>
      </c>
      <c r="F19" s="114">
        <f t="shared" si="6"/>
        <v>67.481899999999996</v>
      </c>
      <c r="G19" s="108"/>
      <c r="H19" s="115">
        <f t="shared" si="7"/>
        <v>21.2986</v>
      </c>
      <c r="I19" s="116">
        <f t="shared" si="8"/>
        <v>44.221300000000006</v>
      </c>
      <c r="J19" s="116">
        <f t="shared" si="9"/>
        <v>65.770600000000002</v>
      </c>
      <c r="K19" s="117">
        <f t="shared" si="10"/>
        <v>75.853100000000012</v>
      </c>
      <c r="L19" s="8"/>
      <c r="M19" s="12">
        <f t="shared" si="11"/>
        <v>18.932210000000001</v>
      </c>
      <c r="N19" s="13">
        <f t="shared" si="12"/>
        <v>42.108879999999999</v>
      </c>
      <c r="O19" s="13">
        <f t="shared" si="13"/>
        <v>76.91585000000002</v>
      </c>
      <c r="P19" s="14">
        <f t="shared" si="14"/>
        <v>89.07371000000002</v>
      </c>
      <c r="Q19" s="8"/>
      <c r="R19" s="15">
        <f t="shared" si="15"/>
        <v>28.116550000000004</v>
      </c>
      <c r="S19" s="16">
        <f t="shared" si="16"/>
        <v>58.367320000000007</v>
      </c>
      <c r="T19" s="16">
        <f t="shared" si="17"/>
        <v>86.819590000000005</v>
      </c>
      <c r="U19" s="17">
        <f t="shared" si="18"/>
        <v>100.12849000000003</v>
      </c>
      <c r="W19" s="12" t="str">
        <f t="shared" si="19"/>
        <v>N/A</v>
      </c>
      <c r="X19" s="13" t="str">
        <f t="shared" si="20"/>
        <v>N/A</v>
      </c>
      <c r="Y19" s="13" t="str">
        <f t="shared" si="21"/>
        <v>N/A</v>
      </c>
      <c r="Z19" s="14" t="str">
        <f t="shared" si="22"/>
        <v>N/A</v>
      </c>
      <c r="AA19" s="8"/>
      <c r="AB19" s="15" t="str">
        <f t="shared" si="23"/>
        <v>N/A</v>
      </c>
      <c r="AC19" s="16" t="str">
        <f t="shared" si="24"/>
        <v>N/A</v>
      </c>
      <c r="AD19" s="16" t="str">
        <f t="shared" si="25"/>
        <v>N/A</v>
      </c>
      <c r="AE19" s="17" t="str">
        <f t="shared" si="26"/>
        <v>N/A</v>
      </c>
      <c r="AF19" s="88"/>
      <c r="AG19" s="112">
        <f t="shared" si="27"/>
        <v>34.299999999999997</v>
      </c>
      <c r="AH19" s="13">
        <f t="shared" si="27"/>
        <v>76.5</v>
      </c>
      <c r="AI19" s="13">
        <f t="shared" si="27"/>
        <v>139.80000000000001</v>
      </c>
      <c r="AJ19" s="114">
        <f t="shared" si="27"/>
        <v>161.80000000000001</v>
      </c>
      <c r="AK19" s="108"/>
      <c r="AL19" s="115">
        <f t="shared" si="28"/>
        <v>51</v>
      </c>
      <c r="AM19" s="16">
        <f t="shared" si="28"/>
        <v>106</v>
      </c>
      <c r="AN19" s="16">
        <f t="shared" si="28"/>
        <v>157.80000000000001</v>
      </c>
      <c r="AO19" s="17">
        <f t="shared" si="28"/>
        <v>182</v>
      </c>
      <c r="AP19" s="88"/>
      <c r="AS19" s="32"/>
      <c r="AT19" s="59"/>
      <c r="AU19" s="59"/>
      <c r="AV19" s="59"/>
      <c r="AW19" s="59"/>
      <c r="AX19" s="59"/>
      <c r="AY19" s="59"/>
      <c r="AZ19" s="59"/>
    </row>
    <row r="20" spans="1:52" ht="14.45" customHeight="1" thickBot="1" x14ac:dyDescent="0.3">
      <c r="A20" s="223"/>
      <c r="B20" s="27" t="s">
        <v>29</v>
      </c>
      <c r="C20" s="112" t="str">
        <f t="shared" si="3"/>
        <v>N/A</v>
      </c>
      <c r="D20" s="113">
        <f t="shared" si="4"/>
        <v>4.0983999999999998</v>
      </c>
      <c r="E20" s="113">
        <f t="shared" si="5"/>
        <v>7.9134000000000002</v>
      </c>
      <c r="F20" s="114">
        <f t="shared" si="6"/>
        <v>10.682000000000002</v>
      </c>
      <c r="G20" s="108"/>
      <c r="H20" s="115" t="str">
        <f t="shared" si="7"/>
        <v>N/A</v>
      </c>
      <c r="I20" s="116">
        <f t="shared" si="8"/>
        <v>5.5699000000000005</v>
      </c>
      <c r="J20" s="116">
        <f t="shared" si="9"/>
        <v>8.6546000000000003</v>
      </c>
      <c r="K20" s="117">
        <f t="shared" si="10"/>
        <v>11.5649</v>
      </c>
      <c r="L20" s="8"/>
      <c r="M20" s="12" t="str">
        <f t="shared" si="11"/>
        <v>N/A</v>
      </c>
      <c r="N20" s="13">
        <f t="shared" si="12"/>
        <v>5.407490000000001</v>
      </c>
      <c r="O20" s="13">
        <f t="shared" si="13"/>
        <v>10.443290000000003</v>
      </c>
      <c r="P20" s="14">
        <f t="shared" si="14"/>
        <v>14.100240000000001</v>
      </c>
      <c r="Q20" s="8"/>
      <c r="R20" s="15" t="str">
        <f t="shared" si="15"/>
        <v>N/A</v>
      </c>
      <c r="S20" s="16">
        <f t="shared" si="16"/>
        <v>7.349870000000001</v>
      </c>
      <c r="T20" s="16">
        <f t="shared" si="17"/>
        <v>11.426470000000002</v>
      </c>
      <c r="U20" s="17">
        <f t="shared" si="18"/>
        <v>15.263270000000004</v>
      </c>
      <c r="W20" s="12" t="str">
        <f t="shared" si="19"/>
        <v>N/A</v>
      </c>
      <c r="X20" s="13" t="str">
        <f t="shared" si="20"/>
        <v>N/A</v>
      </c>
      <c r="Y20" s="13" t="str">
        <f t="shared" si="21"/>
        <v>N/A</v>
      </c>
      <c r="Z20" s="14" t="str">
        <f t="shared" si="22"/>
        <v>N/A</v>
      </c>
      <c r="AA20" s="8"/>
      <c r="AB20" s="15" t="str">
        <f t="shared" si="23"/>
        <v>N/A</v>
      </c>
      <c r="AC20" s="16" t="str">
        <f t="shared" si="24"/>
        <v>N/A</v>
      </c>
      <c r="AD20" s="16" t="str">
        <f t="shared" si="25"/>
        <v>N/A</v>
      </c>
      <c r="AE20" s="17" t="str">
        <f t="shared" si="26"/>
        <v>N/A</v>
      </c>
      <c r="AF20" s="88"/>
      <c r="AG20" s="112" t="s">
        <v>118</v>
      </c>
      <c r="AH20" s="13">
        <f>ROUNDDOWN(AH12*$C$14,1)</f>
        <v>9.8000000000000007</v>
      </c>
      <c r="AI20" s="13">
        <f>ROUNDDOWN(AI12*$C$14,1)</f>
        <v>18.899999999999999</v>
      </c>
      <c r="AJ20" s="114">
        <f>ROUNDDOWN(AJ12*$C$14,1)</f>
        <v>25.6</v>
      </c>
      <c r="AK20" s="108"/>
      <c r="AL20" s="115" t="s">
        <v>118</v>
      </c>
      <c r="AM20" s="16">
        <f>ROUNDDOWN(AM12*$C$14,1)</f>
        <v>13.2</v>
      </c>
      <c r="AN20" s="16">
        <f>ROUNDDOWN(AN12*$C$14,1)</f>
        <v>20.7</v>
      </c>
      <c r="AO20" s="17">
        <f>ROUNDDOWN(AO12*$C$14,1)</f>
        <v>27.6</v>
      </c>
      <c r="AP20" s="88"/>
      <c r="AS20" s="32"/>
      <c r="AT20" s="59"/>
      <c r="AU20" s="59"/>
      <c r="AV20" s="59"/>
      <c r="AW20" s="59"/>
      <c r="AX20" s="59"/>
      <c r="AY20" s="59"/>
      <c r="AZ20" s="59"/>
    </row>
    <row r="21" spans="1:52" ht="5.0999999999999996" customHeight="1" thickBot="1" x14ac:dyDescent="0.3"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W21" s="8"/>
      <c r="X21" s="8"/>
      <c r="Y21" s="8"/>
      <c r="Z21" s="8"/>
      <c r="AA21" s="8"/>
      <c r="AB21" s="8"/>
      <c r="AC21" s="8"/>
      <c r="AD21" s="8"/>
      <c r="AE21" s="8"/>
      <c r="AF21" s="89"/>
      <c r="AG21" s="108"/>
      <c r="AH21" s="108"/>
      <c r="AI21" s="108"/>
      <c r="AJ21" s="108"/>
      <c r="AK21" s="108"/>
      <c r="AL21" s="108"/>
      <c r="AM21" s="108"/>
      <c r="AN21" s="108"/>
      <c r="AO21" s="108"/>
      <c r="AP21" s="89"/>
    </row>
    <row r="22" spans="1:52" ht="15.75" thickBot="1" x14ac:dyDescent="0.3">
      <c r="B22" s="28" t="s">
        <v>119</v>
      </c>
      <c r="C22" s="31">
        <v>2.38</v>
      </c>
      <c r="D22" s="28"/>
      <c r="E22" s="28"/>
      <c r="F22" s="28"/>
      <c r="G22" s="28"/>
      <c r="H22" s="31">
        <v>2.38</v>
      </c>
      <c r="I22" s="28"/>
      <c r="J22" s="28"/>
      <c r="K22" s="28"/>
      <c r="L22" s="28"/>
      <c r="M22" s="31">
        <v>2.38</v>
      </c>
      <c r="N22" s="28"/>
      <c r="O22" s="28"/>
      <c r="P22" s="28"/>
      <c r="Q22" s="28"/>
      <c r="R22" s="31">
        <v>2.38</v>
      </c>
      <c r="T22" s="8"/>
      <c r="U22" s="8"/>
      <c r="W22" s="31">
        <v>2.1800000000000002</v>
      </c>
      <c r="X22" s="28"/>
      <c r="Y22" s="28"/>
      <c r="Z22" s="28"/>
      <c r="AA22" s="28"/>
      <c r="AB22" s="31">
        <v>2.1800000000000002</v>
      </c>
      <c r="AD22" s="8"/>
      <c r="AE22" s="8"/>
      <c r="AF22" s="89"/>
      <c r="AG22" s="108"/>
      <c r="AH22" s="108"/>
      <c r="AI22" s="108"/>
      <c r="AJ22" s="108"/>
      <c r="AN22" s="108"/>
      <c r="AO22" s="108"/>
      <c r="AP22" s="89"/>
    </row>
    <row r="23" spans="1:52" ht="14.45" customHeight="1" x14ac:dyDescent="0.25">
      <c r="A23" s="221" t="s">
        <v>121</v>
      </c>
      <c r="B23" s="26" t="s">
        <v>23</v>
      </c>
      <c r="C23" s="105">
        <f t="shared" ref="C23:C28" si="29">IFERROR(C7*C$22,"N/A")</f>
        <v>25.0138</v>
      </c>
      <c r="D23" s="106">
        <f t="shared" ref="D23:D28" si="30">IFERROR(D7*C$22,"N/A")</f>
        <v>30.939999999999998</v>
      </c>
      <c r="E23" s="106">
        <f t="shared" ref="E23:E28" si="31">IFERROR(E7*C$22,"N/A")</f>
        <v>64.902599999999993</v>
      </c>
      <c r="F23" s="107">
        <f t="shared" ref="F23:F28" si="32">IFERROR(F7*C$22,"N/A")</f>
        <v>73.946600000000004</v>
      </c>
      <c r="G23" s="108"/>
      <c r="H23" s="109">
        <f t="shared" ref="H23:H28" si="33">IFERROR(H7*H$22,"N/A")</f>
        <v>36.913799999999995</v>
      </c>
      <c r="I23" s="110">
        <f t="shared" ref="I23:I28" si="34">IFERROR(I7*H$22,"N/A")</f>
        <v>49.361199999999997</v>
      </c>
      <c r="J23" s="110">
        <f t="shared" ref="J23:J28" si="35">IFERROR(J7*H$22,"N/A")</f>
        <v>79.301599999999993</v>
      </c>
      <c r="K23" s="111">
        <f t="shared" ref="K23:K28" si="36">IFERROR(K7*H$22,"N/A")</f>
        <v>87.155599999999993</v>
      </c>
      <c r="L23" s="8"/>
      <c r="M23" s="5">
        <f t="shared" ref="M23:M28" si="37">IFERROR(M7*M$22,"N/A")</f>
        <v>33.012979999999999</v>
      </c>
      <c r="N23" s="6">
        <f t="shared" ref="N23:N28" si="38">IFERROR(N7*M$22,"N/A")</f>
        <v>40.840800000000002</v>
      </c>
      <c r="O23" s="6">
        <f t="shared" ref="O23:O28" si="39">IFERROR(O7*M$22,"N/A")</f>
        <v>85.660960000000003</v>
      </c>
      <c r="P23" s="7">
        <f t="shared" ref="P23:P28" si="40">IFERROR(P7*M$22,"N/A")</f>
        <v>97.599040000000002</v>
      </c>
      <c r="Q23" s="8"/>
      <c r="R23" s="9">
        <f t="shared" ref="R23:R28" si="41">IFERROR(R7*R$22,"N/A")</f>
        <v>48.720979999999997</v>
      </c>
      <c r="S23" s="10">
        <f t="shared" ref="S23:S28" si="42">IFERROR(S7*R$22,"N/A")</f>
        <v>65.162019999999998</v>
      </c>
      <c r="T23" s="10">
        <f t="shared" ref="T23:T28" si="43">IFERROR(T7*R$22,"N/A")</f>
        <v>104.66764000000001</v>
      </c>
      <c r="U23" s="11">
        <f t="shared" ref="U23:U28" si="44">IFERROR(U7*R$22,"N/A")</f>
        <v>115.03492</v>
      </c>
      <c r="W23" s="5" t="str">
        <f t="shared" ref="W23:W28" si="45">IFERROR(W7*W$22,"N/A")</f>
        <v>N/A</v>
      </c>
      <c r="X23" s="6" t="str">
        <f t="shared" ref="X23:X28" si="46">IFERROR(X7*W$22,"N/A")</f>
        <v>N/A</v>
      </c>
      <c r="Y23" s="6" t="str">
        <f t="shared" ref="Y23:Y28" si="47">IFERROR(Y7*W$22,"N/A")</f>
        <v>N/A</v>
      </c>
      <c r="Z23" s="7" t="str">
        <f t="shared" ref="Z23:Z28" si="48">IFERROR(Z7*W$22,"N/A")</f>
        <v>N/A</v>
      </c>
      <c r="AA23" s="8"/>
      <c r="AB23" s="9" t="str">
        <f t="shared" ref="AB23:AB28" si="49">IFERROR(AB7*AB$22,"N/A")</f>
        <v>N/A</v>
      </c>
      <c r="AC23" s="10" t="str">
        <f t="shared" ref="AC23:AC28" si="50">IFERROR(AC7*AB$22,"N/A")</f>
        <v>N/A</v>
      </c>
      <c r="AD23" s="10" t="str">
        <f t="shared" ref="AD23:AD28" si="51">IFERROR(AD7*AB$22,"N/A")</f>
        <v>N/A</v>
      </c>
      <c r="AE23" s="11" t="str">
        <f t="shared" ref="AE23:AE28" si="52">IFERROR(AE7*AB$22,"N/A")</f>
        <v>N/A</v>
      </c>
      <c r="AF23" s="88"/>
      <c r="AG23" s="5">
        <f t="shared" ref="AG23:AJ27" si="53">ROUNDDOWN(AG7*$C$22,1)</f>
        <v>59.9</v>
      </c>
      <c r="AH23" s="6">
        <f t="shared" si="53"/>
        <v>74.2</v>
      </c>
      <c r="AI23" s="6">
        <f t="shared" si="53"/>
        <v>155.6</v>
      </c>
      <c r="AJ23" s="107">
        <f t="shared" si="53"/>
        <v>177.3</v>
      </c>
      <c r="AK23" s="108"/>
      <c r="AL23" s="109">
        <f t="shared" ref="AL23:AO27" si="54">ROUNDDOWN(AL7*$C$22,1)</f>
        <v>88.5</v>
      </c>
      <c r="AM23" s="10">
        <f t="shared" si="54"/>
        <v>118.2</v>
      </c>
      <c r="AN23" s="10">
        <f t="shared" si="54"/>
        <v>190.1</v>
      </c>
      <c r="AO23" s="11">
        <f t="shared" si="54"/>
        <v>208.9</v>
      </c>
      <c r="AP23" s="88"/>
    </row>
    <row r="24" spans="1:52" ht="14.45" customHeight="1" x14ac:dyDescent="0.25">
      <c r="A24" s="222"/>
      <c r="B24" s="27" t="s">
        <v>24</v>
      </c>
      <c r="C24" s="112">
        <f t="shared" si="29"/>
        <v>26.132400000000001</v>
      </c>
      <c r="D24" s="113">
        <f t="shared" si="30"/>
        <v>39.103400000000001</v>
      </c>
      <c r="E24" s="113">
        <f t="shared" si="31"/>
        <v>77.135799999999989</v>
      </c>
      <c r="F24" s="114">
        <f t="shared" si="32"/>
        <v>88.440799999999982</v>
      </c>
      <c r="G24" s="108"/>
      <c r="H24" s="115">
        <f t="shared" si="33"/>
        <v>38.651199999999996</v>
      </c>
      <c r="I24" s="116">
        <f t="shared" si="34"/>
        <v>58.595599999999997</v>
      </c>
      <c r="J24" s="116">
        <f t="shared" si="35"/>
        <v>87.7744</v>
      </c>
      <c r="K24" s="117">
        <f t="shared" si="36"/>
        <v>103.81559999999999</v>
      </c>
      <c r="L24" s="8"/>
      <c r="M24" s="12">
        <f t="shared" si="37"/>
        <v>34.505240000000001</v>
      </c>
      <c r="N24" s="13">
        <f t="shared" si="38"/>
        <v>51.626959999999997</v>
      </c>
      <c r="O24" s="13">
        <f t="shared" si="39"/>
        <v>101.81402</v>
      </c>
      <c r="P24" s="14">
        <f t="shared" si="40"/>
        <v>116.73662000000002</v>
      </c>
      <c r="Q24" s="8"/>
      <c r="R24" s="15">
        <f t="shared" si="41"/>
        <v>51.024819999999998</v>
      </c>
      <c r="S24" s="16">
        <f t="shared" si="42"/>
        <v>77.335719999999995</v>
      </c>
      <c r="T24" s="16">
        <f t="shared" si="43"/>
        <v>115.87267999999999</v>
      </c>
      <c r="U24" s="17">
        <f t="shared" si="44"/>
        <v>137.02612000000002</v>
      </c>
      <c r="W24" s="12" t="str">
        <f t="shared" si="45"/>
        <v>N/A</v>
      </c>
      <c r="X24" s="13" t="str">
        <f t="shared" si="46"/>
        <v>N/A</v>
      </c>
      <c r="Y24" s="13" t="str">
        <f t="shared" si="47"/>
        <v>N/A</v>
      </c>
      <c r="Z24" s="14" t="str">
        <f t="shared" si="48"/>
        <v>N/A</v>
      </c>
      <c r="AA24" s="8"/>
      <c r="AB24" s="15" t="str">
        <f t="shared" si="49"/>
        <v>N/A</v>
      </c>
      <c r="AC24" s="16" t="str">
        <f t="shared" si="50"/>
        <v>N/A</v>
      </c>
      <c r="AD24" s="16" t="str">
        <f t="shared" si="51"/>
        <v>N/A</v>
      </c>
      <c r="AE24" s="17" t="str">
        <f t="shared" si="52"/>
        <v>N/A</v>
      </c>
      <c r="AF24" s="88"/>
      <c r="AG24" s="12">
        <f t="shared" si="53"/>
        <v>62.5</v>
      </c>
      <c r="AH24" s="13">
        <f t="shared" si="53"/>
        <v>93.7</v>
      </c>
      <c r="AI24" s="13">
        <f t="shared" si="53"/>
        <v>184.9</v>
      </c>
      <c r="AJ24" s="114">
        <f t="shared" si="53"/>
        <v>212</v>
      </c>
      <c r="AK24" s="108"/>
      <c r="AL24" s="115">
        <f t="shared" si="54"/>
        <v>92.5</v>
      </c>
      <c r="AM24" s="16">
        <f t="shared" si="54"/>
        <v>140.4</v>
      </c>
      <c r="AN24" s="16">
        <f t="shared" si="54"/>
        <v>210.6</v>
      </c>
      <c r="AO24" s="17">
        <f t="shared" si="54"/>
        <v>248.9</v>
      </c>
      <c r="AP24" s="88"/>
    </row>
    <row r="25" spans="1:52" ht="14.45" customHeight="1" x14ac:dyDescent="0.25">
      <c r="A25" s="222"/>
      <c r="B25" s="27" t="s">
        <v>25</v>
      </c>
      <c r="C25" s="112">
        <f t="shared" si="29"/>
        <v>28.583799999999997</v>
      </c>
      <c r="D25" s="113">
        <f t="shared" si="30"/>
        <v>45.6008</v>
      </c>
      <c r="E25" s="113">
        <f t="shared" si="31"/>
        <v>93.057999999999993</v>
      </c>
      <c r="F25" s="114">
        <f t="shared" si="32"/>
        <v>107.9806</v>
      </c>
      <c r="G25" s="108"/>
      <c r="H25" s="115">
        <f t="shared" si="33"/>
        <v>42.435399999999994</v>
      </c>
      <c r="I25" s="116">
        <f t="shared" si="34"/>
        <v>65.4024</v>
      </c>
      <c r="J25" s="116">
        <f t="shared" si="35"/>
        <v>106.79059999999998</v>
      </c>
      <c r="K25" s="117">
        <f t="shared" si="36"/>
        <v>119.45219999999999</v>
      </c>
      <c r="L25" s="8"/>
      <c r="M25" s="12">
        <f t="shared" si="37"/>
        <v>37.725380000000001</v>
      </c>
      <c r="N25" s="13">
        <f t="shared" si="38"/>
        <v>60.187820000000002</v>
      </c>
      <c r="O25" s="13">
        <f t="shared" si="39"/>
        <v>122.83656000000002</v>
      </c>
      <c r="P25" s="14">
        <f t="shared" si="40"/>
        <v>142.52392</v>
      </c>
      <c r="Q25" s="8"/>
      <c r="R25" s="15">
        <f t="shared" si="41"/>
        <v>56.025199999999998</v>
      </c>
      <c r="S25" s="16">
        <f t="shared" si="42"/>
        <v>86.341639999999998</v>
      </c>
      <c r="T25" s="16">
        <f t="shared" si="43"/>
        <v>140.95312000000001</v>
      </c>
      <c r="U25" s="17">
        <f t="shared" si="44"/>
        <v>157.68214</v>
      </c>
      <c r="W25" s="12" t="str">
        <f t="shared" si="45"/>
        <v>N/A</v>
      </c>
      <c r="X25" s="13" t="str">
        <f t="shared" si="46"/>
        <v>N/A</v>
      </c>
      <c r="Y25" s="13" t="str">
        <f t="shared" si="47"/>
        <v>N/A</v>
      </c>
      <c r="Z25" s="14" t="str">
        <f t="shared" si="48"/>
        <v>N/A</v>
      </c>
      <c r="AA25" s="8"/>
      <c r="AB25" s="15" t="str">
        <f t="shared" si="49"/>
        <v>N/A</v>
      </c>
      <c r="AC25" s="16" t="str">
        <f t="shared" si="50"/>
        <v>N/A</v>
      </c>
      <c r="AD25" s="16" t="str">
        <f t="shared" si="51"/>
        <v>N/A</v>
      </c>
      <c r="AE25" s="17" t="str">
        <f t="shared" si="52"/>
        <v>N/A</v>
      </c>
      <c r="AF25" s="88"/>
      <c r="AG25" s="12">
        <f t="shared" si="53"/>
        <v>68.5</v>
      </c>
      <c r="AH25" s="13">
        <f t="shared" si="53"/>
        <v>109.2</v>
      </c>
      <c r="AI25" s="13">
        <f t="shared" si="53"/>
        <v>223.2</v>
      </c>
      <c r="AJ25" s="114">
        <f t="shared" si="53"/>
        <v>258.89999999999998</v>
      </c>
      <c r="AK25" s="108"/>
      <c r="AL25" s="115">
        <f t="shared" si="54"/>
        <v>101.6</v>
      </c>
      <c r="AM25" s="16">
        <f t="shared" si="54"/>
        <v>156.80000000000001</v>
      </c>
      <c r="AN25" s="16">
        <f t="shared" si="54"/>
        <v>256</v>
      </c>
      <c r="AO25" s="17">
        <f t="shared" si="54"/>
        <v>286.5</v>
      </c>
      <c r="AP25" s="88"/>
    </row>
    <row r="26" spans="1:52" ht="14.45" customHeight="1" x14ac:dyDescent="0.25">
      <c r="A26" s="222"/>
      <c r="B26" s="27" t="s">
        <v>26</v>
      </c>
      <c r="C26" s="112">
        <f t="shared" si="29"/>
        <v>31.273199999999999</v>
      </c>
      <c r="D26" s="113">
        <f t="shared" si="30"/>
        <v>59.428599999999996</v>
      </c>
      <c r="E26" s="113">
        <f t="shared" si="31"/>
        <v>113.76399999999998</v>
      </c>
      <c r="F26" s="114">
        <f t="shared" si="32"/>
        <v>134.06539999999998</v>
      </c>
      <c r="G26" s="108"/>
      <c r="H26" s="115">
        <f t="shared" si="33"/>
        <v>46.481400000000001</v>
      </c>
      <c r="I26" s="116">
        <f t="shared" si="34"/>
        <v>82.776399999999995</v>
      </c>
      <c r="J26" s="116">
        <f t="shared" si="35"/>
        <v>130.5668</v>
      </c>
      <c r="K26" s="117">
        <f t="shared" si="36"/>
        <v>153.39099999999999</v>
      </c>
      <c r="L26" s="8"/>
      <c r="M26" s="12">
        <f t="shared" si="37"/>
        <v>41.28586</v>
      </c>
      <c r="N26" s="13">
        <f t="shared" si="38"/>
        <v>78.435280000000006</v>
      </c>
      <c r="O26" s="13">
        <f t="shared" si="39"/>
        <v>150.16847999999999</v>
      </c>
      <c r="P26" s="14">
        <f t="shared" si="40"/>
        <v>176.9768</v>
      </c>
      <c r="Q26" s="8"/>
      <c r="R26" s="15">
        <f t="shared" si="41"/>
        <v>61.365920000000003</v>
      </c>
      <c r="S26" s="16">
        <f t="shared" si="42"/>
        <v>109.27532000000002</v>
      </c>
      <c r="T26" s="16">
        <f t="shared" si="43"/>
        <v>172.34294000000003</v>
      </c>
      <c r="U26" s="17">
        <f t="shared" si="44"/>
        <v>202.47612000000001</v>
      </c>
      <c r="W26" s="12" t="str">
        <f t="shared" si="45"/>
        <v>N/A</v>
      </c>
      <c r="X26" s="13" t="str">
        <f t="shared" si="46"/>
        <v>N/A</v>
      </c>
      <c r="Y26" s="13" t="str">
        <f t="shared" si="47"/>
        <v>N/A</v>
      </c>
      <c r="Z26" s="14" t="str">
        <f t="shared" si="48"/>
        <v>N/A</v>
      </c>
      <c r="AA26" s="8"/>
      <c r="AB26" s="15" t="str">
        <f t="shared" si="49"/>
        <v>N/A</v>
      </c>
      <c r="AC26" s="16" t="str">
        <f t="shared" si="50"/>
        <v>N/A</v>
      </c>
      <c r="AD26" s="16" t="str">
        <f t="shared" si="51"/>
        <v>N/A</v>
      </c>
      <c r="AE26" s="17" t="str">
        <f t="shared" si="52"/>
        <v>N/A</v>
      </c>
      <c r="AF26" s="88"/>
      <c r="AG26" s="12">
        <f t="shared" si="53"/>
        <v>74.900000000000006</v>
      </c>
      <c r="AH26" s="13">
        <f t="shared" si="53"/>
        <v>142.5</v>
      </c>
      <c r="AI26" s="13">
        <f t="shared" si="53"/>
        <v>272.89999999999998</v>
      </c>
      <c r="AJ26" s="114">
        <f t="shared" si="53"/>
        <v>321.5</v>
      </c>
      <c r="AK26" s="108"/>
      <c r="AL26" s="115">
        <f t="shared" si="54"/>
        <v>111.3</v>
      </c>
      <c r="AM26" s="16">
        <f t="shared" si="54"/>
        <v>198.4</v>
      </c>
      <c r="AN26" s="16">
        <f t="shared" si="54"/>
        <v>313.2</v>
      </c>
      <c r="AO26" s="17">
        <f t="shared" si="54"/>
        <v>367.9</v>
      </c>
      <c r="AP26" s="88"/>
      <c r="AQ26" s="37"/>
      <c r="AR26" s="37"/>
    </row>
    <row r="27" spans="1:52" ht="14.45" customHeight="1" x14ac:dyDescent="0.25">
      <c r="A27" s="222"/>
      <c r="B27" s="27" t="s">
        <v>27</v>
      </c>
      <c r="C27" s="112">
        <f t="shared" si="29"/>
        <v>31.320799999999998</v>
      </c>
      <c r="D27" s="113">
        <f t="shared" si="30"/>
        <v>69.662599999999998</v>
      </c>
      <c r="E27" s="113">
        <f t="shared" si="31"/>
        <v>127.23479999999999</v>
      </c>
      <c r="F27" s="114">
        <f t="shared" si="32"/>
        <v>147.3458</v>
      </c>
      <c r="G27" s="108"/>
      <c r="H27" s="115">
        <f t="shared" si="33"/>
        <v>46.505199999999995</v>
      </c>
      <c r="I27" s="116">
        <f t="shared" si="34"/>
        <v>96.556600000000003</v>
      </c>
      <c r="J27" s="116">
        <f t="shared" si="35"/>
        <v>143.60920000000002</v>
      </c>
      <c r="K27" s="117">
        <f t="shared" si="36"/>
        <v>165.6242</v>
      </c>
      <c r="L27" s="8"/>
      <c r="M27" s="12">
        <f t="shared" si="37"/>
        <v>41.33822</v>
      </c>
      <c r="N27" s="13">
        <f t="shared" si="38"/>
        <v>91.944159999999997</v>
      </c>
      <c r="O27" s="13">
        <f t="shared" si="39"/>
        <v>167.94470000000001</v>
      </c>
      <c r="P27" s="14">
        <f t="shared" si="40"/>
        <v>194.49122</v>
      </c>
      <c r="Q27" s="8"/>
      <c r="R27" s="15">
        <f t="shared" si="41"/>
        <v>61.392099999999999</v>
      </c>
      <c r="S27" s="16">
        <f t="shared" si="42"/>
        <v>127.44423999999999</v>
      </c>
      <c r="T27" s="16">
        <f t="shared" si="43"/>
        <v>189.56938</v>
      </c>
      <c r="U27" s="17">
        <f t="shared" si="44"/>
        <v>218.62918000000005</v>
      </c>
      <c r="W27" s="12" t="str">
        <f t="shared" si="45"/>
        <v>N/A</v>
      </c>
      <c r="X27" s="13" t="str">
        <f t="shared" si="46"/>
        <v>N/A</v>
      </c>
      <c r="Y27" s="13" t="str">
        <f t="shared" si="47"/>
        <v>N/A</v>
      </c>
      <c r="Z27" s="14" t="str">
        <f t="shared" si="48"/>
        <v>N/A</v>
      </c>
      <c r="AA27" s="8"/>
      <c r="AB27" s="15" t="str">
        <f t="shared" si="49"/>
        <v>N/A</v>
      </c>
      <c r="AC27" s="16" t="str">
        <f t="shared" si="50"/>
        <v>N/A</v>
      </c>
      <c r="AD27" s="16" t="str">
        <f t="shared" si="51"/>
        <v>N/A</v>
      </c>
      <c r="AE27" s="17" t="str">
        <f t="shared" si="52"/>
        <v>N/A</v>
      </c>
      <c r="AF27" s="88"/>
      <c r="AG27" s="112">
        <f t="shared" si="53"/>
        <v>74.900000000000006</v>
      </c>
      <c r="AH27" s="13">
        <f t="shared" si="53"/>
        <v>167</v>
      </c>
      <c r="AI27" s="13">
        <f t="shared" si="53"/>
        <v>305.3</v>
      </c>
      <c r="AJ27" s="114">
        <f t="shared" si="53"/>
        <v>353.4</v>
      </c>
      <c r="AK27" s="108"/>
      <c r="AL27" s="115">
        <f t="shared" si="54"/>
        <v>111.3</v>
      </c>
      <c r="AM27" s="16">
        <f t="shared" si="54"/>
        <v>231.5</v>
      </c>
      <c r="AN27" s="16">
        <f t="shared" si="54"/>
        <v>344.6</v>
      </c>
      <c r="AO27" s="17">
        <f t="shared" si="54"/>
        <v>397.4</v>
      </c>
      <c r="AP27" s="88"/>
    </row>
    <row r="28" spans="1:52" ht="14.45" customHeight="1" thickBot="1" x14ac:dyDescent="0.3">
      <c r="A28" s="223"/>
      <c r="B28" s="27" t="s">
        <v>29</v>
      </c>
      <c r="C28" s="112" t="str">
        <f t="shared" si="29"/>
        <v>N/A</v>
      </c>
      <c r="D28" s="113">
        <f t="shared" si="30"/>
        <v>8.9487999999999985</v>
      </c>
      <c r="E28" s="113">
        <f t="shared" si="31"/>
        <v>17.2788</v>
      </c>
      <c r="F28" s="114">
        <f t="shared" si="32"/>
        <v>23.324000000000002</v>
      </c>
      <c r="G28" s="108"/>
      <c r="H28" s="115" t="str">
        <f t="shared" si="33"/>
        <v>N/A</v>
      </c>
      <c r="I28" s="116">
        <f t="shared" si="34"/>
        <v>12.161799999999999</v>
      </c>
      <c r="J28" s="116">
        <f t="shared" si="35"/>
        <v>18.897200000000002</v>
      </c>
      <c r="K28" s="117">
        <f t="shared" si="36"/>
        <v>25.251799999999996</v>
      </c>
      <c r="L28" s="8"/>
      <c r="M28" s="12" t="str">
        <f t="shared" si="37"/>
        <v>N/A</v>
      </c>
      <c r="N28" s="13">
        <f t="shared" si="38"/>
        <v>11.807180000000001</v>
      </c>
      <c r="O28" s="13">
        <f t="shared" si="39"/>
        <v>22.802780000000002</v>
      </c>
      <c r="P28" s="14">
        <f t="shared" si="40"/>
        <v>30.787679999999998</v>
      </c>
      <c r="Q28" s="8"/>
      <c r="R28" s="15" t="str">
        <f t="shared" si="41"/>
        <v>N/A</v>
      </c>
      <c r="S28" s="16">
        <f t="shared" si="42"/>
        <v>16.04834</v>
      </c>
      <c r="T28" s="16">
        <f t="shared" si="43"/>
        <v>24.949539999999999</v>
      </c>
      <c r="U28" s="17">
        <f t="shared" si="44"/>
        <v>33.32714</v>
      </c>
      <c r="W28" s="12" t="str">
        <f t="shared" si="45"/>
        <v>N/A</v>
      </c>
      <c r="X28" s="13" t="str">
        <f t="shared" si="46"/>
        <v>N/A</v>
      </c>
      <c r="Y28" s="13" t="str">
        <f t="shared" si="47"/>
        <v>N/A</v>
      </c>
      <c r="Z28" s="14" t="str">
        <f t="shared" si="48"/>
        <v>N/A</v>
      </c>
      <c r="AA28" s="8"/>
      <c r="AB28" s="15" t="str">
        <f t="shared" si="49"/>
        <v>N/A</v>
      </c>
      <c r="AC28" s="16" t="str">
        <f t="shared" si="50"/>
        <v>N/A</v>
      </c>
      <c r="AD28" s="16" t="str">
        <f t="shared" si="51"/>
        <v>N/A</v>
      </c>
      <c r="AE28" s="17" t="str">
        <f t="shared" si="52"/>
        <v>N/A</v>
      </c>
      <c r="AF28" s="88"/>
      <c r="AG28" s="112" t="s">
        <v>118</v>
      </c>
      <c r="AH28" s="13">
        <f>ROUNDDOWN(AH12*$C$22,1)</f>
        <v>21.4</v>
      </c>
      <c r="AI28" s="13">
        <f>ROUNDDOWN(AI12*$C$22,1)</f>
        <v>41.4</v>
      </c>
      <c r="AJ28" s="114">
        <f>ROUNDDOWN(AJ12*$C$22,1)</f>
        <v>55.9</v>
      </c>
      <c r="AK28" s="108"/>
      <c r="AL28" s="115" t="s">
        <v>118</v>
      </c>
      <c r="AM28" s="16">
        <f>ROUNDDOWN(AM12*$C$22,1)</f>
        <v>29</v>
      </c>
      <c r="AN28" s="16">
        <f>ROUNDDOWN(AN12*$C$22,1)</f>
        <v>45.2</v>
      </c>
      <c r="AO28" s="17">
        <f>ROUNDDOWN(AO12*$C$22,1)</f>
        <v>60.4</v>
      </c>
      <c r="AP28" s="88"/>
    </row>
    <row r="29" spans="1:52" ht="5.0999999999999996" customHeight="1" thickBot="1" x14ac:dyDescent="0.3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W29" s="8"/>
      <c r="X29" s="8"/>
      <c r="Y29" s="8"/>
      <c r="Z29" s="8"/>
      <c r="AA29" s="8"/>
      <c r="AB29" s="8"/>
      <c r="AC29" s="8"/>
      <c r="AD29" s="8"/>
      <c r="AE29" s="8"/>
      <c r="AF29" s="89"/>
      <c r="AG29" s="108"/>
      <c r="AH29" s="108"/>
      <c r="AI29" s="108"/>
      <c r="AJ29" s="108"/>
      <c r="AK29" s="108"/>
      <c r="AL29" s="108"/>
      <c r="AM29" s="108"/>
      <c r="AN29" s="108"/>
      <c r="AO29" s="108"/>
      <c r="AP29" s="89"/>
    </row>
    <row r="30" spans="1:52" ht="15.75" thickBot="1" x14ac:dyDescent="0.3">
      <c r="B30" s="28" t="s">
        <v>119</v>
      </c>
      <c r="C30" s="29">
        <v>4.3600000000000003</v>
      </c>
      <c r="D30" s="28"/>
      <c r="E30" s="28"/>
      <c r="F30" s="28"/>
      <c r="G30" s="28"/>
      <c r="H30" s="29">
        <v>4.3600000000000003</v>
      </c>
      <c r="I30" s="28"/>
      <c r="J30" s="28"/>
      <c r="K30" s="28"/>
      <c r="L30" s="28"/>
      <c r="M30" s="29">
        <v>4.3600000000000003</v>
      </c>
      <c r="N30" s="28"/>
      <c r="O30" s="28"/>
      <c r="P30" s="28"/>
      <c r="Q30" s="28"/>
      <c r="R30" s="29">
        <v>4.3600000000000003</v>
      </c>
      <c r="T30" s="8"/>
      <c r="U30" s="8"/>
      <c r="W30" s="29">
        <v>4.3600000000000003</v>
      </c>
      <c r="X30" s="28"/>
      <c r="Y30" s="28"/>
      <c r="Z30" s="28"/>
      <c r="AA30" s="28"/>
      <c r="AB30" s="29">
        <v>4.3600000000000003</v>
      </c>
      <c r="AD30" s="8"/>
      <c r="AE30" s="8"/>
      <c r="AF30" s="89"/>
      <c r="AG30" s="108"/>
      <c r="AH30" s="108"/>
      <c r="AI30" s="108"/>
      <c r="AJ30" s="108"/>
      <c r="AK30" s="108"/>
      <c r="AN30" s="108"/>
      <c r="AO30" s="108"/>
      <c r="AP30" s="89"/>
    </row>
    <row r="31" spans="1:52" ht="14.45" customHeight="1" x14ac:dyDescent="0.25">
      <c r="A31" s="221" t="s">
        <v>122</v>
      </c>
      <c r="B31" s="26" t="s">
        <v>23</v>
      </c>
      <c r="C31" s="105">
        <f t="shared" ref="C31:C36" si="55">IFERROR(C7*C$30,"N/A")</f>
        <v>45.823599999999999</v>
      </c>
      <c r="D31" s="106">
        <f t="shared" ref="D31:D36" si="56">IFERROR(D7*C$30,"N/A")</f>
        <v>56.680000000000007</v>
      </c>
      <c r="E31" s="106">
        <f t="shared" ref="E31:E36" si="57">IFERROR(E7*C$30,"N/A")</f>
        <v>118.89720000000001</v>
      </c>
      <c r="F31" s="107">
        <f t="shared" ref="F31:F36" si="58">IFERROR(F7*C$30,"N/A")</f>
        <v>135.46520000000001</v>
      </c>
      <c r="G31" s="108"/>
      <c r="H31" s="109">
        <f t="shared" ref="H31:H36" si="59">IFERROR(H7*H$30,"N/A")</f>
        <v>67.62360000000001</v>
      </c>
      <c r="I31" s="110">
        <f t="shared" ref="I31:I36" si="60">IFERROR(I7*H$30,"N/A")</f>
        <v>90.426400000000001</v>
      </c>
      <c r="J31" s="110">
        <f t="shared" ref="J31:J36" si="61">IFERROR(J7*H$30,"N/A")</f>
        <v>145.27520000000001</v>
      </c>
      <c r="K31" s="111">
        <f t="shared" ref="K31:K36" si="62">IFERROR(K7*H$30,"N/A")</f>
        <v>159.66319999999999</v>
      </c>
      <c r="L31" s="8"/>
      <c r="M31" s="5">
        <f t="shared" ref="M31:M36" si="63">IFERROR(M7*M$30,"N/A")</f>
        <v>60.477560000000004</v>
      </c>
      <c r="N31" s="6">
        <f t="shared" ref="N31:N36" si="64">IFERROR(N7*M$30,"N/A")</f>
        <v>74.817600000000013</v>
      </c>
      <c r="O31" s="6">
        <f t="shared" ref="O31:O36" si="65">IFERROR(O7*M$30,"N/A")</f>
        <v>156.92512000000002</v>
      </c>
      <c r="P31" s="7">
        <f t="shared" ref="P31:P36" si="66">IFERROR(P7*M$30,"N/A")</f>
        <v>178.79488000000003</v>
      </c>
      <c r="Q31" s="8"/>
      <c r="R31" s="9">
        <f t="shared" ref="R31:R36" si="67">IFERROR(R7*R$30,"N/A")</f>
        <v>89.253560000000007</v>
      </c>
      <c r="S31" s="10">
        <f t="shared" ref="S31:S36" si="68">IFERROR(S7*R$30,"N/A")</f>
        <v>119.37244000000001</v>
      </c>
      <c r="T31" s="10">
        <f t="shared" ref="T31:T36" si="69">IFERROR(T7*R$30,"N/A")</f>
        <v>191.74408000000003</v>
      </c>
      <c r="U31" s="11">
        <f t="shared" ref="U31:U36" si="70">IFERROR(U7*R$30,"N/A")</f>
        <v>210.73624000000004</v>
      </c>
      <c r="W31" s="5" t="str">
        <f t="shared" ref="W31:W36" si="71">IFERROR(W7*W$30,"N/A")</f>
        <v>N/A</v>
      </c>
      <c r="X31" s="6" t="str">
        <f t="shared" ref="X31:X36" si="72">IFERROR(X7*W$30,"N/A")</f>
        <v>N/A</v>
      </c>
      <c r="Y31" s="6" t="str">
        <f t="shared" ref="Y31:Y36" si="73">IFERROR(Y7*W$30,"N/A")</f>
        <v>N/A</v>
      </c>
      <c r="Z31" s="7" t="str">
        <f t="shared" ref="Z31:Z36" si="74">IFERROR(Z7*W$30,"N/A")</f>
        <v>N/A</v>
      </c>
      <c r="AA31" s="8"/>
      <c r="AB31" s="9" t="str">
        <f t="shared" ref="AB31:AB36" si="75">IFERROR(AB7*AB$30,"N/A")</f>
        <v>N/A</v>
      </c>
      <c r="AC31" s="10" t="str">
        <f t="shared" ref="AC31:AC36" si="76">IFERROR(AC7*AB$30,"N/A")</f>
        <v>N/A</v>
      </c>
      <c r="AD31" s="10" t="str">
        <f t="shared" ref="AD31:AD36" si="77">IFERROR(AD7*AB$30,"N/A")</f>
        <v>N/A</v>
      </c>
      <c r="AE31" s="11" t="str">
        <f t="shared" ref="AE31:AE36" si="78">IFERROR(AE7*AB$30,"N/A")</f>
        <v>N/A</v>
      </c>
      <c r="AF31" s="88"/>
      <c r="AG31" s="5">
        <f t="shared" ref="AG31:AJ35" si="79">ROUNDDOWN(AG7*$C$30,1)</f>
        <v>109.8</v>
      </c>
      <c r="AH31" s="6">
        <f t="shared" si="79"/>
        <v>136</v>
      </c>
      <c r="AI31" s="6">
        <f t="shared" si="79"/>
        <v>285.10000000000002</v>
      </c>
      <c r="AJ31" s="107">
        <f t="shared" si="79"/>
        <v>324.8</v>
      </c>
      <c r="AK31" s="108"/>
      <c r="AL31" s="109">
        <f t="shared" ref="AL31:AO35" si="80">ROUNDDOWN(AL7*$C$30,1)</f>
        <v>162.1</v>
      </c>
      <c r="AM31" s="10">
        <f t="shared" si="80"/>
        <v>216.6</v>
      </c>
      <c r="AN31" s="10">
        <f t="shared" si="80"/>
        <v>348.3</v>
      </c>
      <c r="AO31" s="11">
        <f t="shared" si="80"/>
        <v>382.8</v>
      </c>
      <c r="AP31" s="88"/>
    </row>
    <row r="32" spans="1:52" ht="14.45" customHeight="1" x14ac:dyDescent="0.25">
      <c r="A32" s="222"/>
      <c r="B32" s="27" t="s">
        <v>24</v>
      </c>
      <c r="C32" s="112">
        <f t="shared" si="55"/>
        <v>47.872800000000005</v>
      </c>
      <c r="D32" s="113">
        <f t="shared" si="56"/>
        <v>71.634799999999998</v>
      </c>
      <c r="E32" s="113">
        <f t="shared" si="57"/>
        <v>141.30760000000001</v>
      </c>
      <c r="F32" s="114">
        <f t="shared" si="58"/>
        <v>162.01759999999999</v>
      </c>
      <c r="G32" s="108"/>
      <c r="H32" s="115">
        <f t="shared" si="59"/>
        <v>70.806399999999996</v>
      </c>
      <c r="I32" s="116">
        <f t="shared" si="60"/>
        <v>107.34320000000001</v>
      </c>
      <c r="J32" s="116">
        <f t="shared" si="61"/>
        <v>160.79680000000002</v>
      </c>
      <c r="K32" s="117">
        <f t="shared" si="62"/>
        <v>190.1832</v>
      </c>
      <c r="L32" s="8"/>
      <c r="M32" s="12">
        <f t="shared" si="63"/>
        <v>63.211280000000009</v>
      </c>
      <c r="N32" s="13">
        <f t="shared" si="64"/>
        <v>94.577120000000008</v>
      </c>
      <c r="O32" s="13">
        <f t="shared" si="65"/>
        <v>186.51644000000002</v>
      </c>
      <c r="P32" s="14">
        <f t="shared" si="66"/>
        <v>213.85364000000004</v>
      </c>
      <c r="Q32" s="8"/>
      <c r="R32" s="15">
        <f t="shared" si="67"/>
        <v>93.474040000000002</v>
      </c>
      <c r="S32" s="16">
        <f t="shared" si="68"/>
        <v>141.67384000000001</v>
      </c>
      <c r="T32" s="16">
        <f t="shared" si="69"/>
        <v>212.27096</v>
      </c>
      <c r="U32" s="17">
        <f t="shared" si="70"/>
        <v>251.02264000000005</v>
      </c>
      <c r="W32" s="12" t="str">
        <f t="shared" si="71"/>
        <v>N/A</v>
      </c>
      <c r="X32" s="13" t="str">
        <f t="shared" si="72"/>
        <v>N/A</v>
      </c>
      <c r="Y32" s="13" t="str">
        <f t="shared" si="73"/>
        <v>N/A</v>
      </c>
      <c r="Z32" s="14" t="str">
        <f t="shared" si="74"/>
        <v>N/A</v>
      </c>
      <c r="AA32" s="8"/>
      <c r="AB32" s="15" t="str">
        <f t="shared" si="75"/>
        <v>N/A</v>
      </c>
      <c r="AC32" s="16" t="str">
        <f t="shared" si="76"/>
        <v>N/A</v>
      </c>
      <c r="AD32" s="16" t="str">
        <f t="shared" si="77"/>
        <v>N/A</v>
      </c>
      <c r="AE32" s="17" t="str">
        <f t="shared" si="78"/>
        <v>N/A</v>
      </c>
      <c r="AF32" s="88"/>
      <c r="AG32" s="12">
        <f t="shared" si="79"/>
        <v>114.6</v>
      </c>
      <c r="AH32" s="13">
        <f t="shared" si="79"/>
        <v>171.7</v>
      </c>
      <c r="AI32" s="13">
        <f t="shared" si="79"/>
        <v>338.7</v>
      </c>
      <c r="AJ32" s="114">
        <f t="shared" si="79"/>
        <v>388.4</v>
      </c>
      <c r="AK32" s="108"/>
      <c r="AL32" s="115">
        <f t="shared" si="80"/>
        <v>169.6</v>
      </c>
      <c r="AM32" s="16">
        <f t="shared" si="80"/>
        <v>257.2</v>
      </c>
      <c r="AN32" s="16">
        <f t="shared" si="80"/>
        <v>385.8</v>
      </c>
      <c r="AO32" s="17">
        <f t="shared" si="80"/>
        <v>456</v>
      </c>
      <c r="AP32" s="88"/>
    </row>
    <row r="33" spans="1:42" ht="14.45" customHeight="1" x14ac:dyDescent="0.25">
      <c r="A33" s="222"/>
      <c r="B33" s="27" t="s">
        <v>25</v>
      </c>
      <c r="C33" s="112">
        <f t="shared" si="55"/>
        <v>52.363600000000005</v>
      </c>
      <c r="D33" s="113">
        <f t="shared" si="56"/>
        <v>83.537600000000012</v>
      </c>
      <c r="E33" s="113">
        <f t="shared" si="57"/>
        <v>170.47600000000003</v>
      </c>
      <c r="F33" s="114">
        <f t="shared" si="58"/>
        <v>197.81319999999999</v>
      </c>
      <c r="G33" s="108"/>
      <c r="H33" s="115">
        <f t="shared" si="59"/>
        <v>77.738799999999998</v>
      </c>
      <c r="I33" s="116">
        <f t="shared" si="60"/>
        <v>119.81280000000001</v>
      </c>
      <c r="J33" s="116">
        <f t="shared" si="61"/>
        <v>195.63320000000002</v>
      </c>
      <c r="K33" s="117">
        <f t="shared" si="62"/>
        <v>218.82840000000002</v>
      </c>
      <c r="L33" s="8"/>
      <c r="M33" s="12">
        <f t="shared" si="63"/>
        <v>69.110360000000014</v>
      </c>
      <c r="N33" s="13">
        <f t="shared" si="64"/>
        <v>110.26004000000002</v>
      </c>
      <c r="O33" s="13">
        <f t="shared" si="65"/>
        <v>225.02832000000006</v>
      </c>
      <c r="P33" s="14">
        <f t="shared" si="66"/>
        <v>261.09424000000001</v>
      </c>
      <c r="Q33" s="8"/>
      <c r="R33" s="15">
        <f t="shared" si="67"/>
        <v>102.6344</v>
      </c>
      <c r="S33" s="16">
        <f t="shared" si="68"/>
        <v>158.17207999999999</v>
      </c>
      <c r="T33" s="16">
        <f t="shared" si="69"/>
        <v>258.21664000000004</v>
      </c>
      <c r="U33" s="17">
        <f t="shared" si="70"/>
        <v>288.86308000000002</v>
      </c>
      <c r="W33" s="12" t="str">
        <f t="shared" si="71"/>
        <v>N/A</v>
      </c>
      <c r="X33" s="13" t="str">
        <f t="shared" si="72"/>
        <v>N/A</v>
      </c>
      <c r="Y33" s="13" t="str">
        <f t="shared" si="73"/>
        <v>N/A</v>
      </c>
      <c r="Z33" s="14" t="str">
        <f t="shared" si="74"/>
        <v>N/A</v>
      </c>
      <c r="AA33" s="8"/>
      <c r="AB33" s="15" t="str">
        <f t="shared" si="75"/>
        <v>N/A</v>
      </c>
      <c r="AC33" s="16" t="str">
        <f t="shared" si="76"/>
        <v>N/A</v>
      </c>
      <c r="AD33" s="16" t="str">
        <f t="shared" si="77"/>
        <v>N/A</v>
      </c>
      <c r="AE33" s="17" t="str">
        <f t="shared" si="78"/>
        <v>N/A</v>
      </c>
      <c r="AF33" s="88"/>
      <c r="AG33" s="12">
        <f t="shared" si="79"/>
        <v>125.5</v>
      </c>
      <c r="AH33" s="13">
        <f t="shared" si="79"/>
        <v>200.1</v>
      </c>
      <c r="AI33" s="13">
        <f t="shared" si="79"/>
        <v>408.9</v>
      </c>
      <c r="AJ33" s="114">
        <f t="shared" si="79"/>
        <v>474.3</v>
      </c>
      <c r="AK33" s="108"/>
      <c r="AL33" s="115">
        <f t="shared" si="80"/>
        <v>186.1</v>
      </c>
      <c r="AM33" s="16">
        <f t="shared" si="80"/>
        <v>287.3</v>
      </c>
      <c r="AN33" s="16">
        <f t="shared" si="80"/>
        <v>469.1</v>
      </c>
      <c r="AO33" s="17">
        <f t="shared" si="80"/>
        <v>524.9</v>
      </c>
      <c r="AP33" s="88"/>
    </row>
    <row r="34" spans="1:42" ht="14.45" customHeight="1" x14ac:dyDescent="0.25">
      <c r="A34" s="222"/>
      <c r="B34" s="27" t="s">
        <v>26</v>
      </c>
      <c r="C34" s="112">
        <f t="shared" si="55"/>
        <v>57.290400000000005</v>
      </c>
      <c r="D34" s="113">
        <f t="shared" si="56"/>
        <v>108.86920000000001</v>
      </c>
      <c r="E34" s="113">
        <f t="shared" si="57"/>
        <v>208.40800000000002</v>
      </c>
      <c r="F34" s="114">
        <f t="shared" si="58"/>
        <v>245.59880000000001</v>
      </c>
      <c r="G34" s="108"/>
      <c r="H34" s="115">
        <f t="shared" si="59"/>
        <v>85.150800000000018</v>
      </c>
      <c r="I34" s="116">
        <f t="shared" si="60"/>
        <v>151.64080000000001</v>
      </c>
      <c r="J34" s="116">
        <f t="shared" si="61"/>
        <v>239.18960000000001</v>
      </c>
      <c r="K34" s="117">
        <f t="shared" si="62"/>
        <v>281.00200000000001</v>
      </c>
      <c r="L34" s="8"/>
      <c r="M34" s="12">
        <f t="shared" si="63"/>
        <v>75.632920000000013</v>
      </c>
      <c r="N34" s="13">
        <f t="shared" si="64"/>
        <v>143.68816000000001</v>
      </c>
      <c r="O34" s="13">
        <f t="shared" si="65"/>
        <v>275.09856000000002</v>
      </c>
      <c r="P34" s="14">
        <f t="shared" si="66"/>
        <v>324.20960000000002</v>
      </c>
      <c r="Q34" s="8"/>
      <c r="R34" s="15">
        <f t="shared" si="67"/>
        <v>112.41824000000003</v>
      </c>
      <c r="S34" s="16">
        <f t="shared" si="68"/>
        <v>200.18504000000004</v>
      </c>
      <c r="T34" s="16">
        <f t="shared" si="69"/>
        <v>315.72068000000007</v>
      </c>
      <c r="U34" s="17">
        <f t="shared" si="70"/>
        <v>370.92264000000006</v>
      </c>
      <c r="W34" s="12" t="str">
        <f t="shared" si="71"/>
        <v>N/A</v>
      </c>
      <c r="X34" s="13" t="str">
        <f t="shared" si="72"/>
        <v>N/A</v>
      </c>
      <c r="Y34" s="13" t="str">
        <f t="shared" si="73"/>
        <v>N/A</v>
      </c>
      <c r="Z34" s="14" t="str">
        <f t="shared" si="74"/>
        <v>N/A</v>
      </c>
      <c r="AA34" s="8"/>
      <c r="AB34" s="15" t="str">
        <f t="shared" si="75"/>
        <v>N/A</v>
      </c>
      <c r="AC34" s="16" t="str">
        <f t="shared" si="76"/>
        <v>N/A</v>
      </c>
      <c r="AD34" s="16" t="str">
        <f t="shared" si="77"/>
        <v>N/A</v>
      </c>
      <c r="AE34" s="17" t="str">
        <f t="shared" si="78"/>
        <v>N/A</v>
      </c>
      <c r="AF34" s="88"/>
      <c r="AG34" s="12">
        <f t="shared" si="79"/>
        <v>137.30000000000001</v>
      </c>
      <c r="AH34" s="13">
        <f t="shared" si="79"/>
        <v>261.10000000000002</v>
      </c>
      <c r="AI34" s="13">
        <f t="shared" si="79"/>
        <v>500</v>
      </c>
      <c r="AJ34" s="114">
        <f t="shared" si="79"/>
        <v>589</v>
      </c>
      <c r="AK34" s="108"/>
      <c r="AL34" s="115">
        <f t="shared" si="80"/>
        <v>204</v>
      </c>
      <c r="AM34" s="16">
        <f t="shared" si="80"/>
        <v>363.6</v>
      </c>
      <c r="AN34" s="16">
        <f t="shared" si="80"/>
        <v>573.70000000000005</v>
      </c>
      <c r="AO34" s="17">
        <f t="shared" si="80"/>
        <v>674</v>
      </c>
      <c r="AP34" s="88"/>
    </row>
    <row r="35" spans="1:42" ht="14.45" customHeight="1" x14ac:dyDescent="0.25">
      <c r="A35" s="222"/>
      <c r="B35" s="27" t="s">
        <v>27</v>
      </c>
      <c r="C35" s="112">
        <f t="shared" si="55"/>
        <v>57.377600000000008</v>
      </c>
      <c r="D35" s="113">
        <f t="shared" si="56"/>
        <v>127.61720000000001</v>
      </c>
      <c r="E35" s="113">
        <f t="shared" si="57"/>
        <v>233.08560000000003</v>
      </c>
      <c r="F35" s="114">
        <f t="shared" si="58"/>
        <v>269.92759999999998</v>
      </c>
      <c r="G35" s="108"/>
      <c r="H35" s="115">
        <f t="shared" si="59"/>
        <v>85.194400000000002</v>
      </c>
      <c r="I35" s="116">
        <f t="shared" si="60"/>
        <v>176.88520000000003</v>
      </c>
      <c r="J35" s="116">
        <f t="shared" si="61"/>
        <v>263.08240000000001</v>
      </c>
      <c r="K35" s="117">
        <f t="shared" si="62"/>
        <v>303.41240000000005</v>
      </c>
      <c r="L35" s="8"/>
      <c r="M35" s="12">
        <f t="shared" si="63"/>
        <v>75.728840000000005</v>
      </c>
      <c r="N35" s="13">
        <f t="shared" si="64"/>
        <v>168.43552</v>
      </c>
      <c r="O35" s="13">
        <f t="shared" si="65"/>
        <v>307.66340000000008</v>
      </c>
      <c r="P35" s="14">
        <f t="shared" si="66"/>
        <v>356.29484000000008</v>
      </c>
      <c r="Q35" s="8"/>
      <c r="R35" s="15">
        <f t="shared" si="67"/>
        <v>112.46620000000001</v>
      </c>
      <c r="S35" s="16">
        <f t="shared" si="68"/>
        <v>233.46928000000003</v>
      </c>
      <c r="T35" s="16">
        <f t="shared" si="69"/>
        <v>347.27836000000002</v>
      </c>
      <c r="U35" s="17">
        <f t="shared" si="70"/>
        <v>400.51396000000011</v>
      </c>
      <c r="W35" s="12" t="str">
        <f t="shared" si="71"/>
        <v>N/A</v>
      </c>
      <c r="X35" s="13" t="str">
        <f t="shared" si="72"/>
        <v>N/A</v>
      </c>
      <c r="Y35" s="13" t="str">
        <f t="shared" si="73"/>
        <v>N/A</v>
      </c>
      <c r="Z35" s="14" t="str">
        <f t="shared" si="74"/>
        <v>N/A</v>
      </c>
      <c r="AA35" s="8"/>
      <c r="AB35" s="15" t="str">
        <f t="shared" si="75"/>
        <v>N/A</v>
      </c>
      <c r="AC35" s="16" t="str">
        <f t="shared" si="76"/>
        <v>N/A</v>
      </c>
      <c r="AD35" s="16" t="str">
        <f t="shared" si="77"/>
        <v>N/A</v>
      </c>
      <c r="AE35" s="17" t="str">
        <f t="shared" si="78"/>
        <v>N/A</v>
      </c>
      <c r="AF35" s="88"/>
      <c r="AG35" s="112">
        <f t="shared" si="79"/>
        <v>137.30000000000001</v>
      </c>
      <c r="AH35" s="13">
        <f t="shared" si="79"/>
        <v>306</v>
      </c>
      <c r="AI35" s="13">
        <f t="shared" si="79"/>
        <v>559.29999999999995</v>
      </c>
      <c r="AJ35" s="114">
        <f t="shared" si="79"/>
        <v>647.4</v>
      </c>
      <c r="AK35" s="108"/>
      <c r="AL35" s="115">
        <f t="shared" si="80"/>
        <v>204</v>
      </c>
      <c r="AM35" s="16">
        <f t="shared" si="80"/>
        <v>424.2</v>
      </c>
      <c r="AN35" s="16">
        <f t="shared" si="80"/>
        <v>631.29999999999995</v>
      </c>
      <c r="AO35" s="17">
        <f t="shared" si="80"/>
        <v>728.1</v>
      </c>
      <c r="AP35" s="88"/>
    </row>
    <row r="36" spans="1:42" ht="14.45" customHeight="1" thickBot="1" x14ac:dyDescent="0.3">
      <c r="A36" s="223"/>
      <c r="B36" s="27" t="s">
        <v>29</v>
      </c>
      <c r="C36" s="112" t="str">
        <f t="shared" si="55"/>
        <v>N/A</v>
      </c>
      <c r="D36" s="113">
        <f t="shared" si="56"/>
        <v>16.393599999999999</v>
      </c>
      <c r="E36" s="113">
        <f t="shared" si="57"/>
        <v>31.653600000000001</v>
      </c>
      <c r="F36" s="114">
        <f t="shared" si="58"/>
        <v>42.728000000000009</v>
      </c>
      <c r="G36" s="108"/>
      <c r="H36" s="115" t="str">
        <f t="shared" si="59"/>
        <v>N/A</v>
      </c>
      <c r="I36" s="116">
        <f t="shared" si="60"/>
        <v>22.279600000000002</v>
      </c>
      <c r="J36" s="116">
        <f t="shared" si="61"/>
        <v>34.618400000000001</v>
      </c>
      <c r="K36" s="117">
        <f t="shared" si="62"/>
        <v>46.259599999999999</v>
      </c>
      <c r="L36" s="8"/>
      <c r="M36" s="12" t="str">
        <f t="shared" si="63"/>
        <v>N/A</v>
      </c>
      <c r="N36" s="13">
        <f t="shared" si="64"/>
        <v>21.629960000000004</v>
      </c>
      <c r="O36" s="13">
        <f t="shared" si="65"/>
        <v>41.773160000000011</v>
      </c>
      <c r="P36" s="14">
        <f t="shared" si="66"/>
        <v>56.400960000000005</v>
      </c>
      <c r="Q36" s="8"/>
      <c r="R36" s="15" t="str">
        <f t="shared" si="67"/>
        <v>N/A</v>
      </c>
      <c r="S36" s="16">
        <f t="shared" si="68"/>
        <v>29.399480000000004</v>
      </c>
      <c r="T36" s="16">
        <f t="shared" si="69"/>
        <v>45.705880000000008</v>
      </c>
      <c r="U36" s="17">
        <f t="shared" si="70"/>
        <v>61.053080000000016</v>
      </c>
      <c r="W36" s="12" t="str">
        <f t="shared" si="71"/>
        <v>N/A</v>
      </c>
      <c r="X36" s="13" t="str">
        <f t="shared" si="72"/>
        <v>N/A</v>
      </c>
      <c r="Y36" s="13" t="str">
        <f t="shared" si="73"/>
        <v>N/A</v>
      </c>
      <c r="Z36" s="14" t="str">
        <f t="shared" si="74"/>
        <v>N/A</v>
      </c>
      <c r="AA36" s="8"/>
      <c r="AB36" s="15" t="str">
        <f t="shared" si="75"/>
        <v>N/A</v>
      </c>
      <c r="AC36" s="16" t="str">
        <f t="shared" si="76"/>
        <v>N/A</v>
      </c>
      <c r="AD36" s="16" t="str">
        <f t="shared" si="77"/>
        <v>N/A</v>
      </c>
      <c r="AE36" s="17" t="str">
        <f t="shared" si="78"/>
        <v>N/A</v>
      </c>
      <c r="AF36" s="88"/>
      <c r="AG36" s="112" t="s">
        <v>118</v>
      </c>
      <c r="AH36" s="13">
        <f>ROUNDDOWN(AH12*$C$30,1)</f>
        <v>39.200000000000003</v>
      </c>
      <c r="AI36" s="13">
        <f>ROUNDDOWN(AI12*$C$30,1)</f>
        <v>75.8</v>
      </c>
      <c r="AJ36" s="114">
        <f>ROUNDDOWN(AJ12*$C$30,1)</f>
        <v>102.4</v>
      </c>
      <c r="AK36" s="108"/>
      <c r="AL36" s="115" t="s">
        <v>118</v>
      </c>
      <c r="AM36" s="16">
        <f>ROUNDDOWN(AM12*$C$30,1)</f>
        <v>53.1</v>
      </c>
      <c r="AN36" s="16">
        <f>ROUNDDOWN(AN12*$C$30,1)</f>
        <v>82.8</v>
      </c>
      <c r="AO36" s="17">
        <f>ROUNDDOWN(AO12*$C$30,1)</f>
        <v>110.7</v>
      </c>
      <c r="AP36" s="88"/>
    </row>
    <row r="37" spans="1:42" ht="5.0999999999999996" customHeight="1" thickBot="1" x14ac:dyDescent="0.3"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W37" s="8"/>
      <c r="X37" s="8"/>
      <c r="Y37" s="8"/>
      <c r="Z37" s="8"/>
      <c r="AA37" s="8"/>
      <c r="AB37" s="8"/>
      <c r="AC37" s="8"/>
      <c r="AD37" s="8"/>
      <c r="AE37" s="8"/>
      <c r="AF37" s="89"/>
      <c r="AG37" s="108"/>
      <c r="AH37" s="108"/>
      <c r="AI37" s="108"/>
      <c r="AJ37" s="108"/>
      <c r="AK37" s="108"/>
      <c r="AL37" s="108"/>
      <c r="AM37" s="108"/>
      <c r="AN37" s="108"/>
      <c r="AO37" s="108"/>
      <c r="AP37" s="89"/>
    </row>
    <row r="38" spans="1:42" ht="15.75" thickBot="1" x14ac:dyDescent="0.3">
      <c r="B38" s="28" t="s">
        <v>119</v>
      </c>
      <c r="C38" s="29">
        <v>6.54</v>
      </c>
      <c r="D38" s="28"/>
      <c r="E38" s="28"/>
      <c r="F38" s="28"/>
      <c r="G38" s="28"/>
      <c r="H38" s="29">
        <v>6.54</v>
      </c>
      <c r="I38" s="28"/>
      <c r="J38" s="28"/>
      <c r="K38" s="28"/>
      <c r="L38" s="28"/>
      <c r="M38" s="29">
        <v>6.54</v>
      </c>
      <c r="N38" s="28"/>
      <c r="O38" s="28"/>
      <c r="P38" s="28"/>
      <c r="Q38" s="28"/>
      <c r="R38" s="29">
        <v>6.54</v>
      </c>
      <c r="T38" s="8"/>
      <c r="U38" s="8"/>
      <c r="W38" s="29">
        <v>6.54</v>
      </c>
      <c r="X38" s="28"/>
      <c r="Y38" s="28"/>
      <c r="Z38" s="28"/>
      <c r="AA38" s="28"/>
      <c r="AB38" s="29">
        <v>6.54</v>
      </c>
      <c r="AD38" s="8"/>
      <c r="AE38" s="8"/>
      <c r="AF38" s="89"/>
      <c r="AG38" s="108"/>
      <c r="AH38" s="108"/>
      <c r="AI38" s="108"/>
      <c r="AJ38" s="108"/>
      <c r="AK38" s="108"/>
      <c r="AN38" s="108"/>
      <c r="AO38" s="108"/>
      <c r="AP38" s="89"/>
    </row>
    <row r="39" spans="1:42" ht="14.45" customHeight="1" x14ac:dyDescent="0.25">
      <c r="A39" s="221" t="s">
        <v>123</v>
      </c>
      <c r="B39" s="26" t="s">
        <v>23</v>
      </c>
      <c r="C39" s="105">
        <f>IFERROR(C7*C$38,"N/A")</f>
        <v>68.735399999999998</v>
      </c>
      <c r="D39" s="106">
        <f>IFERROR(D7*C$38,"N/A")</f>
        <v>85.02</v>
      </c>
      <c r="E39" s="106">
        <f>IFERROR(E7*C$38,"N/A")</f>
        <v>178.3458</v>
      </c>
      <c r="F39" s="107" t="s">
        <v>118</v>
      </c>
      <c r="G39" s="108"/>
      <c r="H39" s="109">
        <f>IFERROR(H7*H$38,"N/A")</f>
        <v>101.4354</v>
      </c>
      <c r="I39" s="110">
        <f>IFERROR(I7*H$38,"N/A")</f>
        <v>135.6396</v>
      </c>
      <c r="J39" s="110">
        <f>IFERROR(J7*H$38,"N/A")</f>
        <v>217.9128</v>
      </c>
      <c r="K39" s="111" t="s">
        <v>118</v>
      </c>
      <c r="L39" s="8"/>
      <c r="M39" s="5">
        <f>IFERROR(M7*M$38,"N/A")</f>
        <v>90.716340000000002</v>
      </c>
      <c r="N39" s="6">
        <f>IFERROR(N7*M$38,"N/A")</f>
        <v>112.2264</v>
      </c>
      <c r="O39" s="6">
        <f>IFERROR(O7*M$38,"N/A")</f>
        <v>235.38768000000002</v>
      </c>
      <c r="P39" s="7" t="s">
        <v>118</v>
      </c>
      <c r="Q39" s="8"/>
      <c r="R39" s="9">
        <f>IFERROR(R7*R$38,"N/A")</f>
        <v>133.88033999999999</v>
      </c>
      <c r="S39" s="10">
        <f>IFERROR(S7*R$38,"N/A")</f>
        <v>179.05866</v>
      </c>
      <c r="T39" s="10">
        <f>IFERROR(T7*R$38,"N/A")</f>
        <v>287.61612000000002</v>
      </c>
      <c r="U39" s="11" t="s">
        <v>118</v>
      </c>
      <c r="W39" s="5" t="str">
        <f>IFERROR(W7*W$38,"N/A")</f>
        <v>N/A</v>
      </c>
      <c r="X39" s="6" t="str">
        <f>IFERROR(X7*W$38,"N/A")</f>
        <v>N/A</v>
      </c>
      <c r="Y39" s="6" t="str">
        <f>IFERROR(Y7*W$38,"N/A")</f>
        <v>N/A</v>
      </c>
      <c r="Z39" s="7" t="s">
        <v>118</v>
      </c>
      <c r="AA39" s="8"/>
      <c r="AB39" s="9" t="str">
        <f>IFERROR(AB7*AB$38,"N/A")</f>
        <v>N/A</v>
      </c>
      <c r="AC39" s="10" t="str">
        <f>IFERROR(AC7*AB$38,"N/A")</f>
        <v>N/A</v>
      </c>
      <c r="AD39" s="10" t="str">
        <f>IFERROR(AD7*AB$38,"N/A")</f>
        <v>N/A</v>
      </c>
      <c r="AE39" s="11" t="s">
        <v>118</v>
      </c>
      <c r="AF39" s="88"/>
      <c r="AG39" s="5">
        <f>ROUNDDOWN(C39/(1-$AJ$2)*1.2,1)</f>
        <v>164.9</v>
      </c>
      <c r="AH39" s="6">
        <f>ROUNDDOWN(D39/(1-$AJ$2)*1.2,1)</f>
        <v>204</v>
      </c>
      <c r="AI39" s="6">
        <f>ROUNDDOWN(E39/(1-$AJ$2)*1.2,1)</f>
        <v>428</v>
      </c>
      <c r="AJ39" s="107" t="s">
        <v>118</v>
      </c>
      <c r="AK39" s="108"/>
      <c r="AL39" s="109">
        <f>ROUNDDOWN(H39/(1-$AJ$2)*1.2,1)</f>
        <v>243.4</v>
      </c>
      <c r="AM39" s="10">
        <f t="shared" ref="AM39:AN41" si="81">ROUNDDOWN(I39/(1-$AJ$2)*1.2,1)</f>
        <v>325.5</v>
      </c>
      <c r="AN39" s="10">
        <f t="shared" si="81"/>
        <v>522.9</v>
      </c>
      <c r="AO39" s="111" t="s">
        <v>118</v>
      </c>
      <c r="AP39" s="88"/>
    </row>
    <row r="40" spans="1:42" ht="14.45" customHeight="1" x14ac:dyDescent="0.25">
      <c r="A40" s="222"/>
      <c r="B40" s="27" t="s">
        <v>24</v>
      </c>
      <c r="C40" s="112">
        <f>IFERROR(C8*C$38,"N/A")</f>
        <v>71.809200000000004</v>
      </c>
      <c r="D40" s="113">
        <f>IFERROR(D8*C$38,"N/A")</f>
        <v>107.4522</v>
      </c>
      <c r="E40" s="113">
        <f>IFERROR(E8*C$38,"N/A")</f>
        <v>211.96139999999997</v>
      </c>
      <c r="F40" s="114" t="s">
        <v>118</v>
      </c>
      <c r="G40" s="108"/>
      <c r="H40" s="115">
        <f>IFERROR(H8*H$38,"N/A")</f>
        <v>106.20959999999999</v>
      </c>
      <c r="I40" s="116">
        <f>IFERROR(I8*H$38,"N/A")</f>
        <v>161.01480000000001</v>
      </c>
      <c r="J40" s="116">
        <f>IFERROR(J8*H$38,"N/A")</f>
        <v>241.19520000000003</v>
      </c>
      <c r="K40" s="117" t="s">
        <v>118</v>
      </c>
      <c r="L40" s="8"/>
      <c r="M40" s="12">
        <f>IFERROR(M8*M$38,"N/A")</f>
        <v>94.81692000000001</v>
      </c>
      <c r="N40" s="13">
        <f>IFERROR(N8*M$38,"N/A")</f>
        <v>141.86568</v>
      </c>
      <c r="O40" s="13">
        <f>IFERROR(O8*M$38,"N/A")</f>
        <v>279.77466000000004</v>
      </c>
      <c r="P40" s="14" t="s">
        <v>118</v>
      </c>
      <c r="Q40" s="8"/>
      <c r="R40" s="15">
        <f>IFERROR(R8*R$38,"N/A")</f>
        <v>140.21106</v>
      </c>
      <c r="S40" s="16">
        <f>IFERROR(S8*R$38,"N/A")</f>
        <v>212.51076</v>
      </c>
      <c r="T40" s="16">
        <f>IFERROR(T8*R$38,"N/A")</f>
        <v>318.40643999999998</v>
      </c>
      <c r="U40" s="17" t="s">
        <v>118</v>
      </c>
      <c r="W40" s="12" t="str">
        <f>IFERROR(W8*W$38,"N/A")</f>
        <v>N/A</v>
      </c>
      <c r="X40" s="13" t="str">
        <f>IFERROR(X8*W$38,"N/A")</f>
        <v>N/A</v>
      </c>
      <c r="Y40" s="13" t="str">
        <f>IFERROR(Y8*W$38,"N/A")</f>
        <v>N/A</v>
      </c>
      <c r="Z40" s="14" t="s">
        <v>118</v>
      </c>
      <c r="AA40" s="8"/>
      <c r="AB40" s="15" t="str">
        <f>IFERROR(AB8*AB$38,"N/A")</f>
        <v>N/A</v>
      </c>
      <c r="AC40" s="16" t="str">
        <f>IFERROR(AC8*AB$38,"N/A")</f>
        <v>N/A</v>
      </c>
      <c r="AD40" s="16" t="str">
        <f>IFERROR(AD8*AB$38,"N/A")</f>
        <v>N/A</v>
      </c>
      <c r="AE40" s="17" t="s">
        <v>118</v>
      </c>
      <c r="AF40" s="88"/>
      <c r="AG40" s="12">
        <f t="shared" ref="AG40:AI41" si="82">ROUNDDOWN(C40/(1-$AJ$2)*1.2,1)</f>
        <v>172.3</v>
      </c>
      <c r="AH40" s="13">
        <f t="shared" si="82"/>
        <v>257.8</v>
      </c>
      <c r="AI40" s="13">
        <f t="shared" si="82"/>
        <v>508.7</v>
      </c>
      <c r="AJ40" s="114" t="s">
        <v>118</v>
      </c>
      <c r="AK40" s="108"/>
      <c r="AL40" s="115">
        <f t="shared" ref="AL40:AL41" si="83">ROUNDDOWN(H40/(1-$AJ$2)*1.2,1)</f>
        <v>254.9</v>
      </c>
      <c r="AM40" s="16">
        <f t="shared" si="81"/>
        <v>386.4</v>
      </c>
      <c r="AN40" s="16">
        <f t="shared" si="81"/>
        <v>578.79999999999995</v>
      </c>
      <c r="AO40" s="117" t="s">
        <v>118</v>
      </c>
      <c r="AP40" s="88"/>
    </row>
    <row r="41" spans="1:42" ht="14.45" customHeight="1" x14ac:dyDescent="0.25">
      <c r="A41" s="222"/>
      <c r="B41" s="27" t="s">
        <v>25</v>
      </c>
      <c r="C41" s="112">
        <f>IFERROR(C9*C$38,"N/A")</f>
        <v>78.545400000000001</v>
      </c>
      <c r="D41" s="113">
        <f>IFERROR(D9*C$38,"N/A")</f>
        <v>125.3064</v>
      </c>
      <c r="E41" s="113">
        <f>IFERROR(E9*C$38,"N/A")</f>
        <v>255.714</v>
      </c>
      <c r="F41" s="114" t="s">
        <v>118</v>
      </c>
      <c r="G41" s="108"/>
      <c r="H41" s="115">
        <f>IFERROR(H9*H$38,"N/A")</f>
        <v>116.6082</v>
      </c>
      <c r="I41" s="116">
        <f>IFERROR(I9*H$38,"N/A")</f>
        <v>179.7192</v>
      </c>
      <c r="J41" s="116">
        <f>IFERROR(J9*H$38,"N/A")</f>
        <v>293.44979999999998</v>
      </c>
      <c r="K41" s="117" t="s">
        <v>118</v>
      </c>
      <c r="L41" s="8"/>
      <c r="M41" s="12">
        <f>IFERROR(M9*M$38,"N/A")</f>
        <v>103.66554000000001</v>
      </c>
      <c r="N41" s="13">
        <f>IFERROR(N9*M$38,"N/A")</f>
        <v>165.39006000000001</v>
      </c>
      <c r="O41" s="13">
        <f>IFERROR(O9*M$38,"N/A")</f>
        <v>337.54248000000007</v>
      </c>
      <c r="P41" s="14" t="s">
        <v>118</v>
      </c>
      <c r="Q41" s="8"/>
      <c r="R41" s="15">
        <f>IFERROR(R9*R$38,"N/A")</f>
        <v>153.95159999999998</v>
      </c>
      <c r="S41" s="16">
        <f>IFERROR(S9*R$38,"N/A")</f>
        <v>237.25811999999999</v>
      </c>
      <c r="T41" s="16">
        <f>IFERROR(T9*R$38,"N/A")</f>
        <v>387.32496000000009</v>
      </c>
      <c r="U41" s="17" t="s">
        <v>118</v>
      </c>
      <c r="W41" s="12" t="str">
        <f>IFERROR(W9*W$38,"N/A")</f>
        <v>N/A</v>
      </c>
      <c r="X41" s="13" t="str">
        <f>IFERROR(X9*W$38,"N/A")</f>
        <v>N/A</v>
      </c>
      <c r="Y41" s="13" t="str">
        <f>IFERROR(Y9*W$38,"N/A")</f>
        <v>N/A</v>
      </c>
      <c r="Z41" s="14" t="s">
        <v>118</v>
      </c>
      <c r="AA41" s="8"/>
      <c r="AB41" s="15" t="str">
        <f>IFERROR(AB9*AB$38,"N/A")</f>
        <v>N/A</v>
      </c>
      <c r="AC41" s="16" t="str">
        <f>IFERROR(AC9*AB$38,"N/A")</f>
        <v>N/A</v>
      </c>
      <c r="AD41" s="16" t="str">
        <f>IFERROR(AD9*AB$38,"N/A")</f>
        <v>N/A</v>
      </c>
      <c r="AE41" s="17" t="s">
        <v>118</v>
      </c>
      <c r="AF41" s="88"/>
      <c r="AG41" s="12">
        <f t="shared" si="82"/>
        <v>188.5</v>
      </c>
      <c r="AH41" s="13">
        <f t="shared" si="82"/>
        <v>300.7</v>
      </c>
      <c r="AI41" s="13">
        <f t="shared" si="82"/>
        <v>613.70000000000005</v>
      </c>
      <c r="AJ41" s="114" t="s">
        <v>118</v>
      </c>
      <c r="AK41" s="108"/>
      <c r="AL41" s="115">
        <f t="shared" si="83"/>
        <v>279.8</v>
      </c>
      <c r="AM41" s="16">
        <f t="shared" si="81"/>
        <v>431.3</v>
      </c>
      <c r="AN41" s="16">
        <f t="shared" si="81"/>
        <v>704.2</v>
      </c>
      <c r="AO41" s="117" t="s">
        <v>118</v>
      </c>
      <c r="AP41" s="88"/>
    </row>
    <row r="42" spans="1:42" ht="14.45" customHeight="1" x14ac:dyDescent="0.25">
      <c r="A42" s="222"/>
      <c r="B42" s="27" t="s">
        <v>26</v>
      </c>
      <c r="C42" s="112" t="s">
        <v>118</v>
      </c>
      <c r="D42" s="113" t="s">
        <v>118</v>
      </c>
      <c r="E42" s="113" t="s">
        <v>118</v>
      </c>
      <c r="F42" s="114" t="s">
        <v>118</v>
      </c>
      <c r="G42" s="108"/>
      <c r="H42" s="115" t="s">
        <v>118</v>
      </c>
      <c r="I42" s="116" t="s">
        <v>118</v>
      </c>
      <c r="J42" s="116" t="s">
        <v>118</v>
      </c>
      <c r="K42" s="117" t="s">
        <v>118</v>
      </c>
      <c r="L42" s="8"/>
      <c r="M42" s="12" t="s">
        <v>118</v>
      </c>
      <c r="N42" s="13" t="s">
        <v>118</v>
      </c>
      <c r="O42" s="13" t="s">
        <v>118</v>
      </c>
      <c r="P42" s="14" t="s">
        <v>118</v>
      </c>
      <c r="Q42" s="8"/>
      <c r="R42" s="15" t="s">
        <v>118</v>
      </c>
      <c r="S42" s="16" t="s">
        <v>118</v>
      </c>
      <c r="T42" s="16" t="s">
        <v>118</v>
      </c>
      <c r="U42" s="17" t="s">
        <v>118</v>
      </c>
      <c r="W42" s="12" t="s">
        <v>118</v>
      </c>
      <c r="X42" s="13" t="s">
        <v>118</v>
      </c>
      <c r="Y42" s="13" t="s">
        <v>118</v>
      </c>
      <c r="Z42" s="14" t="s">
        <v>118</v>
      </c>
      <c r="AA42" s="8"/>
      <c r="AB42" s="15" t="s">
        <v>118</v>
      </c>
      <c r="AC42" s="16" t="s">
        <v>118</v>
      </c>
      <c r="AD42" s="16" t="s">
        <v>118</v>
      </c>
      <c r="AE42" s="17" t="s">
        <v>118</v>
      </c>
      <c r="AF42" s="88"/>
      <c r="AG42" s="12" t="s">
        <v>118</v>
      </c>
      <c r="AH42" s="13" t="s">
        <v>118</v>
      </c>
      <c r="AI42" s="13" t="s">
        <v>118</v>
      </c>
      <c r="AJ42" s="114" t="s">
        <v>118</v>
      </c>
      <c r="AK42" s="108"/>
      <c r="AL42" s="115" t="s">
        <v>118</v>
      </c>
      <c r="AM42" s="116" t="s">
        <v>118</v>
      </c>
      <c r="AN42" s="116" t="s">
        <v>118</v>
      </c>
      <c r="AO42" s="117" t="s">
        <v>118</v>
      </c>
      <c r="AP42" s="88"/>
    </row>
    <row r="43" spans="1:42" ht="14.45" customHeight="1" x14ac:dyDescent="0.25">
      <c r="A43" s="222"/>
      <c r="B43" s="27" t="s">
        <v>27</v>
      </c>
      <c r="C43" s="112" t="s">
        <v>118</v>
      </c>
      <c r="D43" s="113" t="s">
        <v>118</v>
      </c>
      <c r="E43" s="113" t="s">
        <v>118</v>
      </c>
      <c r="F43" s="114" t="s">
        <v>118</v>
      </c>
      <c r="G43" s="108"/>
      <c r="H43" s="115" t="s">
        <v>118</v>
      </c>
      <c r="I43" s="116" t="s">
        <v>118</v>
      </c>
      <c r="J43" s="116" t="s">
        <v>118</v>
      </c>
      <c r="K43" s="117" t="s">
        <v>118</v>
      </c>
      <c r="L43" s="8"/>
      <c r="M43" s="12" t="s">
        <v>118</v>
      </c>
      <c r="N43" s="13" t="s">
        <v>118</v>
      </c>
      <c r="O43" s="13" t="s">
        <v>118</v>
      </c>
      <c r="P43" s="14" t="s">
        <v>118</v>
      </c>
      <c r="Q43" s="8"/>
      <c r="R43" s="15" t="s">
        <v>118</v>
      </c>
      <c r="S43" s="16" t="s">
        <v>118</v>
      </c>
      <c r="T43" s="16" t="s">
        <v>118</v>
      </c>
      <c r="U43" s="17" t="s">
        <v>118</v>
      </c>
      <c r="W43" s="12" t="s">
        <v>118</v>
      </c>
      <c r="X43" s="13" t="s">
        <v>118</v>
      </c>
      <c r="Y43" s="13" t="s">
        <v>118</v>
      </c>
      <c r="Z43" s="14" t="s">
        <v>118</v>
      </c>
      <c r="AA43" s="8"/>
      <c r="AB43" s="15" t="s">
        <v>118</v>
      </c>
      <c r="AC43" s="16" t="s">
        <v>118</v>
      </c>
      <c r="AD43" s="16" t="s">
        <v>118</v>
      </c>
      <c r="AE43" s="17" t="s">
        <v>118</v>
      </c>
      <c r="AF43" s="88"/>
      <c r="AG43" s="112" t="s">
        <v>118</v>
      </c>
      <c r="AH43" s="13" t="s">
        <v>118</v>
      </c>
      <c r="AI43" s="13" t="s">
        <v>118</v>
      </c>
      <c r="AJ43" s="114" t="s">
        <v>118</v>
      </c>
      <c r="AK43" s="108"/>
      <c r="AL43" s="115" t="s">
        <v>118</v>
      </c>
      <c r="AM43" s="116" t="s">
        <v>118</v>
      </c>
      <c r="AN43" s="116" t="s">
        <v>118</v>
      </c>
      <c r="AO43" s="117" t="s">
        <v>118</v>
      </c>
      <c r="AP43" s="88"/>
    </row>
    <row r="44" spans="1:42" ht="14.45" customHeight="1" thickBot="1" x14ac:dyDescent="0.3">
      <c r="A44" s="223"/>
      <c r="B44" s="27" t="s">
        <v>29</v>
      </c>
      <c r="C44" s="112" t="str">
        <f>IFERROR(C12*C$38,"N/A")</f>
        <v>N/A</v>
      </c>
      <c r="D44" s="113" t="s">
        <v>118</v>
      </c>
      <c r="E44" s="113" t="s">
        <v>118</v>
      </c>
      <c r="F44" s="114" t="s">
        <v>118</v>
      </c>
      <c r="G44" s="108"/>
      <c r="H44" s="115" t="s">
        <v>118</v>
      </c>
      <c r="I44" s="116" t="s">
        <v>118</v>
      </c>
      <c r="J44" s="116" t="s">
        <v>118</v>
      </c>
      <c r="K44" s="117" t="s">
        <v>118</v>
      </c>
      <c r="L44" s="8"/>
      <c r="M44" s="12" t="str">
        <f>IFERROR(M12*M$38,"N/A")</f>
        <v>N/A</v>
      </c>
      <c r="N44" s="13" t="s">
        <v>118</v>
      </c>
      <c r="O44" s="13" t="s">
        <v>118</v>
      </c>
      <c r="P44" s="14" t="s">
        <v>118</v>
      </c>
      <c r="Q44" s="8"/>
      <c r="R44" s="15" t="s">
        <v>118</v>
      </c>
      <c r="S44" s="16" t="s">
        <v>118</v>
      </c>
      <c r="T44" s="16" t="s">
        <v>118</v>
      </c>
      <c r="U44" s="17" t="s">
        <v>118</v>
      </c>
      <c r="W44" s="12" t="str">
        <f>IFERROR(W12*W$38,"N/A")</f>
        <v>N/A</v>
      </c>
      <c r="X44" s="13" t="s">
        <v>118</v>
      </c>
      <c r="Y44" s="13" t="s">
        <v>118</v>
      </c>
      <c r="Z44" s="14" t="s">
        <v>118</v>
      </c>
      <c r="AA44" s="8"/>
      <c r="AB44" s="15" t="s">
        <v>118</v>
      </c>
      <c r="AC44" s="16" t="s">
        <v>118</v>
      </c>
      <c r="AD44" s="16" t="s">
        <v>118</v>
      </c>
      <c r="AE44" s="17" t="s">
        <v>118</v>
      </c>
      <c r="AF44" s="88"/>
      <c r="AG44" s="112" t="str">
        <f>IFERROR(AG12*AG$38,"N/A")</f>
        <v>N/A</v>
      </c>
      <c r="AH44" s="13" t="s">
        <v>118</v>
      </c>
      <c r="AI44" s="13" t="s">
        <v>118</v>
      </c>
      <c r="AJ44" s="114" t="s">
        <v>118</v>
      </c>
      <c r="AK44" s="108"/>
      <c r="AL44" s="115" t="s">
        <v>118</v>
      </c>
      <c r="AM44" s="116" t="s">
        <v>118</v>
      </c>
      <c r="AN44" s="116" t="s">
        <v>118</v>
      </c>
      <c r="AO44" s="117" t="s">
        <v>118</v>
      </c>
      <c r="AP44" s="88"/>
    </row>
    <row r="45" spans="1:42" ht="5.0999999999999996" customHeight="1" thickBot="1" x14ac:dyDescent="0.3"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W45" s="8"/>
      <c r="X45" s="8"/>
      <c r="Y45" s="8"/>
      <c r="Z45" s="8"/>
      <c r="AA45" s="8"/>
      <c r="AB45" s="8"/>
      <c r="AC45" s="8"/>
      <c r="AD45" s="8"/>
      <c r="AE45" s="8"/>
      <c r="AF45" s="89"/>
      <c r="AG45" s="108"/>
      <c r="AH45" s="108"/>
      <c r="AI45" s="108"/>
      <c r="AJ45" s="108"/>
      <c r="AK45" s="108"/>
      <c r="AL45" s="108"/>
      <c r="AM45" s="108"/>
      <c r="AN45" s="108"/>
      <c r="AO45" s="108"/>
      <c r="AP45" s="89"/>
    </row>
    <row r="46" spans="1:42" ht="15.75" thickBot="1" x14ac:dyDescent="0.3">
      <c r="B46" s="28" t="s">
        <v>119</v>
      </c>
      <c r="C46" s="30">
        <v>8.1750000000000007</v>
      </c>
      <c r="D46" s="28"/>
      <c r="E46" s="28"/>
      <c r="F46" s="28"/>
      <c r="G46" s="28"/>
      <c r="H46" s="30">
        <v>8.1750000000000007</v>
      </c>
      <c r="I46" s="28"/>
      <c r="J46" s="28"/>
      <c r="K46" s="28"/>
      <c r="L46" s="28"/>
      <c r="M46" s="30">
        <v>8.1750000000000007</v>
      </c>
      <c r="N46" s="28"/>
      <c r="O46" s="28"/>
      <c r="P46" s="28"/>
      <c r="Q46" s="28"/>
      <c r="R46" s="30">
        <v>8.1750000000000007</v>
      </c>
      <c r="T46" s="8"/>
      <c r="U46" s="8"/>
      <c r="W46" s="30">
        <v>8.1750000000000007</v>
      </c>
      <c r="X46" s="28"/>
      <c r="Y46" s="28"/>
      <c r="Z46" s="28"/>
      <c r="AA46" s="28"/>
      <c r="AB46" s="30">
        <v>8.1750000000000007</v>
      </c>
      <c r="AD46" s="8"/>
      <c r="AE46" s="8"/>
      <c r="AF46" s="89"/>
      <c r="AG46" s="108"/>
      <c r="AH46" s="108"/>
      <c r="AI46" s="108"/>
      <c r="AJ46" s="108"/>
      <c r="AK46" s="108"/>
      <c r="AN46" s="108"/>
      <c r="AO46" s="108"/>
      <c r="AP46" s="89"/>
    </row>
    <row r="47" spans="1:42" ht="14.45" customHeight="1" x14ac:dyDescent="0.25">
      <c r="A47" s="221" t="s">
        <v>124</v>
      </c>
      <c r="B47" s="26" t="s">
        <v>23</v>
      </c>
      <c r="C47" s="105">
        <f>IFERROR(C7*C$46,"N/A")</f>
        <v>85.919250000000005</v>
      </c>
      <c r="D47" s="106">
        <f>IFERROR(D7*C$46,"N/A")</f>
        <v>106.27500000000001</v>
      </c>
      <c r="E47" s="106">
        <f>IFERROR(E7*C$46,"N/A")</f>
        <v>222.93225000000001</v>
      </c>
      <c r="F47" s="107" t="s">
        <v>118</v>
      </c>
      <c r="G47" s="108"/>
      <c r="H47" s="109">
        <f>IFERROR(H7*H$46,"N/A")</f>
        <v>126.79425000000001</v>
      </c>
      <c r="I47" s="110">
        <f>IFERROR(I7*H$46,"N/A")</f>
        <v>169.54949999999999</v>
      </c>
      <c r="J47" s="110">
        <f>IFERROR(J7*H$46,"N/A")</f>
        <v>272.39100000000002</v>
      </c>
      <c r="K47" s="11" t="s">
        <v>118</v>
      </c>
      <c r="L47" s="8"/>
      <c r="M47" s="5">
        <f>IFERROR(M7*M$46,"N/A")</f>
        <v>113.39542500000002</v>
      </c>
      <c r="N47" s="6">
        <f>IFERROR(N7*M$46,"N/A")</f>
        <v>140.28300000000002</v>
      </c>
      <c r="O47" s="6">
        <f>IFERROR(O7*M$46,"N/A")</f>
        <v>294.23460000000006</v>
      </c>
      <c r="P47" s="7" t="s">
        <v>118</v>
      </c>
      <c r="Q47" s="8"/>
      <c r="R47" s="9">
        <f>IFERROR(R7*R$46,"N/A")</f>
        <v>167.350425</v>
      </c>
      <c r="S47" s="10">
        <f>IFERROR(S7*R$46,"N/A")</f>
        <v>223.82332500000004</v>
      </c>
      <c r="T47" s="10">
        <f>IFERROR(T7*R$46,"N/A")</f>
        <v>359.52015000000006</v>
      </c>
      <c r="U47" s="11" t="s">
        <v>118</v>
      </c>
      <c r="W47" s="5" t="str">
        <f>IFERROR(W7*W$46,"N/A")</f>
        <v>N/A</v>
      </c>
      <c r="X47" s="6" t="str">
        <f>IFERROR(X7*W$46,"N/A")</f>
        <v>N/A</v>
      </c>
      <c r="Y47" s="6" t="str">
        <f>IFERROR(Y7*W$46,"N/A")</f>
        <v>N/A</v>
      </c>
      <c r="Z47" s="7" t="s">
        <v>118</v>
      </c>
      <c r="AA47" s="8"/>
      <c r="AB47" s="9" t="str">
        <f>IFERROR(AB7*AB$46,"N/A")</f>
        <v>N/A</v>
      </c>
      <c r="AC47" s="10" t="str">
        <f>IFERROR(AC7*AB$46,"N/A")</f>
        <v>N/A</v>
      </c>
      <c r="AD47" s="10" t="str">
        <f>IFERROR(AD7*AB$46,"N/A")</f>
        <v>N/A</v>
      </c>
      <c r="AE47" s="11" t="s">
        <v>118</v>
      </c>
      <c r="AF47" s="88"/>
      <c r="AG47" s="5">
        <f>ROUNDDOWN(C47/(1-$AJ$2)*1.2,1)</f>
        <v>206.2</v>
      </c>
      <c r="AH47" s="6">
        <f>ROUNDDOWN(D47/(1-$AJ$2)*1.2,1)</f>
        <v>255</v>
      </c>
      <c r="AI47" s="6">
        <f>ROUNDDOWN(E47/(1-$AJ$2)*1.2,1)</f>
        <v>535</v>
      </c>
      <c r="AJ47" s="107" t="s">
        <v>118</v>
      </c>
      <c r="AK47" s="108"/>
      <c r="AL47" s="109">
        <f>ROUNDDOWN(H47/(1-$AJ$2)*1.2,1)</f>
        <v>304.3</v>
      </c>
      <c r="AM47" s="10">
        <f t="shared" ref="AM47:AN49" si="84">ROUNDDOWN(I47/(1-$AJ$2)*1.2,1)</f>
        <v>406.9</v>
      </c>
      <c r="AN47" s="10">
        <f t="shared" si="84"/>
        <v>653.70000000000005</v>
      </c>
      <c r="AO47" s="111" t="s">
        <v>118</v>
      </c>
      <c r="AP47" s="88"/>
    </row>
    <row r="48" spans="1:42" ht="14.45" customHeight="1" x14ac:dyDescent="0.25">
      <c r="A48" s="222"/>
      <c r="B48" s="27" t="s">
        <v>24</v>
      </c>
      <c r="C48" s="112">
        <f>IFERROR(C8*C$46,"N/A")</f>
        <v>89.761500000000012</v>
      </c>
      <c r="D48" s="113">
        <f>IFERROR(D8*C$46,"N/A")</f>
        <v>134.31525000000002</v>
      </c>
      <c r="E48" s="113">
        <f>IFERROR(E8*C$46,"N/A")</f>
        <v>264.95175</v>
      </c>
      <c r="F48" s="114" t="s">
        <v>118</v>
      </c>
      <c r="G48" s="108"/>
      <c r="H48" s="115">
        <f>IFERROR(H8*H$46,"N/A")</f>
        <v>132.762</v>
      </c>
      <c r="I48" s="116">
        <f>IFERROR(I8*H$46,"N/A")</f>
        <v>201.26850000000002</v>
      </c>
      <c r="J48" s="116">
        <f>IFERROR(J8*H$46,"N/A")</f>
        <v>301.49400000000003</v>
      </c>
      <c r="K48" s="17" t="s">
        <v>118</v>
      </c>
      <c r="L48" s="8"/>
      <c r="M48" s="12">
        <f>IFERROR(M8*M$46,"N/A")</f>
        <v>118.52115000000002</v>
      </c>
      <c r="N48" s="13">
        <f>IFERROR(N8*M$46,"N/A")</f>
        <v>177.33210000000003</v>
      </c>
      <c r="O48" s="13">
        <f>IFERROR(O8*M$46,"N/A")</f>
        <v>349.71832500000005</v>
      </c>
      <c r="P48" s="14" t="s">
        <v>118</v>
      </c>
      <c r="Q48" s="8"/>
      <c r="R48" s="15">
        <f>IFERROR(R8*R$46,"N/A")</f>
        <v>175.26382500000003</v>
      </c>
      <c r="S48" s="16">
        <f>IFERROR(S8*R$46,"N/A")</f>
        <v>265.63845000000003</v>
      </c>
      <c r="T48" s="16">
        <f>IFERROR(T8*R$46,"N/A")</f>
        <v>398.00805000000003</v>
      </c>
      <c r="U48" s="17" t="s">
        <v>118</v>
      </c>
      <c r="W48" s="12" t="str">
        <f>IFERROR(W8*W$46,"N/A")</f>
        <v>N/A</v>
      </c>
      <c r="X48" s="13" t="str">
        <f>IFERROR(X8*W$46,"N/A")</f>
        <v>N/A</v>
      </c>
      <c r="Y48" s="13" t="str">
        <f>IFERROR(Y8*W$46,"N/A")</f>
        <v>N/A</v>
      </c>
      <c r="Z48" s="14" t="s">
        <v>118</v>
      </c>
      <c r="AA48" s="8"/>
      <c r="AB48" s="15" t="str">
        <f>IFERROR(AB8*AB$46,"N/A")</f>
        <v>N/A</v>
      </c>
      <c r="AC48" s="16" t="str">
        <f>IFERROR(AC8*AB$46,"N/A")</f>
        <v>N/A</v>
      </c>
      <c r="AD48" s="16" t="str">
        <f>IFERROR(AD8*AB$46,"N/A")</f>
        <v>N/A</v>
      </c>
      <c r="AE48" s="17" t="s">
        <v>118</v>
      </c>
      <c r="AF48" s="88"/>
      <c r="AG48" s="12">
        <f t="shared" ref="AG48:AI49" si="85">ROUNDDOWN(C48/(1-$AJ$2)*1.2,1)</f>
        <v>215.4</v>
      </c>
      <c r="AH48" s="13">
        <f t="shared" si="85"/>
        <v>322.3</v>
      </c>
      <c r="AI48" s="13">
        <f t="shared" si="85"/>
        <v>635.79999999999995</v>
      </c>
      <c r="AJ48" s="114" t="s">
        <v>118</v>
      </c>
      <c r="AK48" s="108"/>
      <c r="AL48" s="115">
        <f t="shared" ref="AL48:AL49" si="86">ROUNDDOWN(H48/(1-$AJ$2)*1.2,1)</f>
        <v>318.60000000000002</v>
      </c>
      <c r="AM48" s="16">
        <f t="shared" si="84"/>
        <v>483</v>
      </c>
      <c r="AN48" s="16">
        <f t="shared" si="84"/>
        <v>723.5</v>
      </c>
      <c r="AO48" s="117" t="s">
        <v>118</v>
      </c>
      <c r="AP48" s="88"/>
    </row>
    <row r="49" spans="1:42" ht="14.45" customHeight="1" x14ac:dyDescent="0.25">
      <c r="A49" s="222"/>
      <c r="B49" s="27" t="s">
        <v>25</v>
      </c>
      <c r="C49" s="112">
        <f>IFERROR(C9*C$46,"N/A")</f>
        <v>98.181750000000008</v>
      </c>
      <c r="D49" s="113">
        <f>IFERROR(D9*C$46,"N/A")</f>
        <v>156.63300000000001</v>
      </c>
      <c r="E49" s="113">
        <f>IFERROR(E9*C$46,"N/A")</f>
        <v>319.64250000000004</v>
      </c>
      <c r="F49" s="114" t="s">
        <v>118</v>
      </c>
      <c r="G49" s="108"/>
      <c r="H49" s="115">
        <f>IFERROR(H9*H$46,"N/A")</f>
        <v>145.76024999999998</v>
      </c>
      <c r="I49" s="116">
        <f>IFERROR(I9*H$46,"N/A")</f>
        <v>224.64900000000003</v>
      </c>
      <c r="J49" s="116">
        <f>IFERROR(J9*H$46,"N/A")</f>
        <v>366.81225000000001</v>
      </c>
      <c r="K49" s="17" t="s">
        <v>118</v>
      </c>
      <c r="L49" s="8"/>
      <c r="M49" s="12">
        <f>IFERROR(M9*M$46,"N/A")</f>
        <v>129.58192500000001</v>
      </c>
      <c r="N49" s="13">
        <f>IFERROR(N9*M$46,"N/A")</f>
        <v>206.73757500000002</v>
      </c>
      <c r="O49" s="13">
        <f>IFERROR(O9*M$46,"N/A")</f>
        <v>421.92810000000009</v>
      </c>
      <c r="P49" s="14" t="s">
        <v>118</v>
      </c>
      <c r="Q49" s="8"/>
      <c r="R49" s="15">
        <f>IFERROR(R9*R$46,"N/A")</f>
        <v>192.43950000000001</v>
      </c>
      <c r="S49" s="16">
        <f>IFERROR(S9*R$46,"N/A")</f>
        <v>296.57265000000001</v>
      </c>
      <c r="T49" s="16">
        <f>IFERROR(T9*R$46,"N/A")</f>
        <v>484.15620000000013</v>
      </c>
      <c r="U49" s="17" t="s">
        <v>118</v>
      </c>
      <c r="W49" s="12" t="str">
        <f>IFERROR(W9*W$46,"N/A")</f>
        <v>N/A</v>
      </c>
      <c r="X49" s="13" t="str">
        <f>IFERROR(X9*W$46,"N/A")</f>
        <v>N/A</v>
      </c>
      <c r="Y49" s="13" t="str">
        <f>IFERROR(Y9*W$46,"N/A")</f>
        <v>N/A</v>
      </c>
      <c r="Z49" s="14" t="s">
        <v>118</v>
      </c>
      <c r="AA49" s="8"/>
      <c r="AB49" s="15" t="str">
        <f>IFERROR(AB9*AB$46,"N/A")</f>
        <v>N/A</v>
      </c>
      <c r="AC49" s="16" t="str">
        <f>IFERROR(AC9*AB$46,"N/A")</f>
        <v>N/A</v>
      </c>
      <c r="AD49" s="16" t="str">
        <f>IFERROR(AD9*AB$46,"N/A")</f>
        <v>N/A</v>
      </c>
      <c r="AE49" s="17" t="s">
        <v>118</v>
      </c>
      <c r="AF49" s="88"/>
      <c r="AG49" s="12">
        <f t="shared" si="85"/>
        <v>235.6</v>
      </c>
      <c r="AH49" s="13">
        <f t="shared" si="85"/>
        <v>375.9</v>
      </c>
      <c r="AI49" s="13">
        <f t="shared" si="85"/>
        <v>767.1</v>
      </c>
      <c r="AJ49" s="114" t="s">
        <v>118</v>
      </c>
      <c r="AK49" s="108"/>
      <c r="AL49" s="115">
        <f t="shared" si="86"/>
        <v>349.8</v>
      </c>
      <c r="AM49" s="16">
        <f t="shared" si="84"/>
        <v>539.1</v>
      </c>
      <c r="AN49" s="16">
        <f t="shared" si="84"/>
        <v>880.3</v>
      </c>
      <c r="AO49" s="117" t="s">
        <v>118</v>
      </c>
      <c r="AP49" s="88"/>
    </row>
    <row r="50" spans="1:42" ht="14.45" customHeight="1" x14ac:dyDescent="0.25">
      <c r="A50" s="222"/>
      <c r="B50" s="27" t="s">
        <v>26</v>
      </c>
      <c r="C50" s="12" t="s">
        <v>118</v>
      </c>
      <c r="D50" s="13" t="s">
        <v>118</v>
      </c>
      <c r="E50" s="13" t="s">
        <v>118</v>
      </c>
      <c r="F50" s="14" t="s">
        <v>118</v>
      </c>
      <c r="G50" s="8"/>
      <c r="H50" s="15" t="s">
        <v>118</v>
      </c>
      <c r="I50" s="16" t="s">
        <v>118</v>
      </c>
      <c r="J50" s="16" t="s">
        <v>118</v>
      </c>
      <c r="K50" s="17" t="s">
        <v>118</v>
      </c>
      <c r="L50" s="8"/>
      <c r="M50" s="12" t="s">
        <v>118</v>
      </c>
      <c r="N50" s="13" t="s">
        <v>118</v>
      </c>
      <c r="O50" s="13" t="s">
        <v>118</v>
      </c>
      <c r="P50" s="14" t="s">
        <v>118</v>
      </c>
      <c r="Q50" s="8"/>
      <c r="R50" s="15" t="s">
        <v>118</v>
      </c>
      <c r="S50" s="16" t="s">
        <v>118</v>
      </c>
      <c r="T50" s="16" t="s">
        <v>118</v>
      </c>
      <c r="U50" s="17" t="s">
        <v>118</v>
      </c>
      <c r="W50" s="12" t="s">
        <v>118</v>
      </c>
      <c r="X50" s="13" t="s">
        <v>118</v>
      </c>
      <c r="Y50" s="13" t="s">
        <v>118</v>
      </c>
      <c r="Z50" s="14" t="s">
        <v>118</v>
      </c>
      <c r="AA50" s="8"/>
      <c r="AB50" s="15" t="s">
        <v>118</v>
      </c>
      <c r="AC50" s="16" t="s">
        <v>118</v>
      </c>
      <c r="AD50" s="16" t="s">
        <v>118</v>
      </c>
      <c r="AE50" s="17" t="s">
        <v>118</v>
      </c>
      <c r="AF50" s="88"/>
      <c r="AG50" s="112" t="s">
        <v>118</v>
      </c>
      <c r="AH50" s="113" t="s">
        <v>118</v>
      </c>
      <c r="AI50" s="113" t="s">
        <v>118</v>
      </c>
      <c r="AJ50" s="114" t="s">
        <v>118</v>
      </c>
      <c r="AK50" s="108"/>
      <c r="AL50" s="15" t="s">
        <v>118</v>
      </c>
      <c r="AM50" s="116" t="s">
        <v>118</v>
      </c>
      <c r="AN50" s="116" t="s">
        <v>118</v>
      </c>
      <c r="AO50" s="117" t="s">
        <v>118</v>
      </c>
      <c r="AP50" s="88"/>
    </row>
    <row r="51" spans="1:42" ht="14.45" customHeight="1" x14ac:dyDescent="0.25">
      <c r="A51" s="222"/>
      <c r="B51" s="27" t="s">
        <v>27</v>
      </c>
      <c r="C51" s="12" t="s">
        <v>118</v>
      </c>
      <c r="D51" s="13" t="s">
        <v>118</v>
      </c>
      <c r="E51" s="13" t="s">
        <v>118</v>
      </c>
      <c r="F51" s="14" t="s">
        <v>118</v>
      </c>
      <c r="G51" s="8"/>
      <c r="H51" s="15" t="s">
        <v>118</v>
      </c>
      <c r="I51" s="16" t="s">
        <v>118</v>
      </c>
      <c r="J51" s="16" t="s">
        <v>118</v>
      </c>
      <c r="K51" s="17" t="s">
        <v>118</v>
      </c>
      <c r="L51" s="8"/>
      <c r="M51" s="12" t="s">
        <v>118</v>
      </c>
      <c r="N51" s="13" t="s">
        <v>118</v>
      </c>
      <c r="O51" s="13" t="s">
        <v>118</v>
      </c>
      <c r="P51" s="14" t="s">
        <v>118</v>
      </c>
      <c r="Q51" s="8"/>
      <c r="R51" s="15" t="s">
        <v>118</v>
      </c>
      <c r="S51" s="16" t="s">
        <v>118</v>
      </c>
      <c r="T51" s="16" t="s">
        <v>118</v>
      </c>
      <c r="U51" s="17" t="s">
        <v>118</v>
      </c>
      <c r="W51" s="12" t="s">
        <v>118</v>
      </c>
      <c r="X51" s="13" t="s">
        <v>118</v>
      </c>
      <c r="Y51" s="13" t="s">
        <v>118</v>
      </c>
      <c r="Z51" s="14" t="s">
        <v>118</v>
      </c>
      <c r="AA51" s="8"/>
      <c r="AB51" s="15" t="s">
        <v>118</v>
      </c>
      <c r="AC51" s="16" t="s">
        <v>118</v>
      </c>
      <c r="AD51" s="16" t="s">
        <v>118</v>
      </c>
      <c r="AE51" s="17" t="s">
        <v>118</v>
      </c>
      <c r="AF51" s="88"/>
      <c r="AG51" s="112" t="s">
        <v>118</v>
      </c>
      <c r="AH51" s="113" t="s">
        <v>118</v>
      </c>
      <c r="AI51" s="113" t="s">
        <v>118</v>
      </c>
      <c r="AJ51" s="114" t="s">
        <v>118</v>
      </c>
      <c r="AK51" s="108"/>
      <c r="AL51" s="115" t="s">
        <v>118</v>
      </c>
      <c r="AM51" s="116" t="s">
        <v>118</v>
      </c>
      <c r="AN51" s="116" t="s">
        <v>118</v>
      </c>
      <c r="AO51" s="117" t="s">
        <v>118</v>
      </c>
      <c r="AP51" s="88"/>
    </row>
    <row r="52" spans="1:42" ht="14.45" customHeight="1" thickBot="1" x14ac:dyDescent="0.3">
      <c r="A52" s="223"/>
      <c r="B52" s="27" t="s">
        <v>29</v>
      </c>
      <c r="C52" s="12" t="str">
        <f>IFERROR(C20*C$38,"N/A")</f>
        <v>N/A</v>
      </c>
      <c r="D52" s="13" t="s">
        <v>118</v>
      </c>
      <c r="E52" s="13" t="s">
        <v>118</v>
      </c>
      <c r="F52" s="14" t="s">
        <v>118</v>
      </c>
      <c r="G52" s="8"/>
      <c r="H52" s="15" t="s">
        <v>118</v>
      </c>
      <c r="I52" s="16" t="s">
        <v>118</v>
      </c>
      <c r="J52" s="16" t="s">
        <v>118</v>
      </c>
      <c r="K52" s="17" t="s">
        <v>118</v>
      </c>
      <c r="L52" s="8"/>
      <c r="M52" s="12" t="str">
        <f>IFERROR(M20*M$38,"N/A")</f>
        <v>N/A</v>
      </c>
      <c r="N52" s="13" t="s">
        <v>118</v>
      </c>
      <c r="O52" s="13" t="s">
        <v>118</v>
      </c>
      <c r="P52" s="14" t="s">
        <v>118</v>
      </c>
      <c r="Q52" s="8"/>
      <c r="R52" s="15" t="s">
        <v>118</v>
      </c>
      <c r="S52" s="16" t="s">
        <v>118</v>
      </c>
      <c r="T52" s="16" t="s">
        <v>118</v>
      </c>
      <c r="U52" s="17" t="s">
        <v>118</v>
      </c>
      <c r="W52" s="12" t="str">
        <f>IFERROR(W20*W$38,"N/A")</f>
        <v>N/A</v>
      </c>
      <c r="X52" s="13" t="s">
        <v>118</v>
      </c>
      <c r="Y52" s="13" t="s">
        <v>118</v>
      </c>
      <c r="Z52" s="14" t="s">
        <v>118</v>
      </c>
      <c r="AA52" s="8"/>
      <c r="AB52" s="15" t="s">
        <v>118</v>
      </c>
      <c r="AC52" s="16" t="s">
        <v>118</v>
      </c>
      <c r="AD52" s="16" t="s">
        <v>118</v>
      </c>
      <c r="AE52" s="17" t="s">
        <v>118</v>
      </c>
      <c r="AF52" s="88"/>
      <c r="AG52" s="112" t="str">
        <f>IFERROR(AG20*AG$38,"N/A")</f>
        <v>N/A</v>
      </c>
      <c r="AH52" s="113" t="s">
        <v>118</v>
      </c>
      <c r="AI52" s="113" t="s">
        <v>118</v>
      </c>
      <c r="AJ52" s="114" t="s">
        <v>118</v>
      </c>
      <c r="AK52" s="108"/>
      <c r="AL52" s="115" t="s">
        <v>118</v>
      </c>
      <c r="AM52" s="116" t="s">
        <v>118</v>
      </c>
      <c r="AN52" s="116" t="s">
        <v>118</v>
      </c>
      <c r="AO52" s="117" t="s">
        <v>118</v>
      </c>
      <c r="AP52" s="88"/>
    </row>
  </sheetData>
  <mergeCells count="21">
    <mergeCell ref="AR2:BB2"/>
    <mergeCell ref="C3:F3"/>
    <mergeCell ref="H3:K3"/>
    <mergeCell ref="M3:P3"/>
    <mergeCell ref="R3:U3"/>
    <mergeCell ref="W3:Z3"/>
    <mergeCell ref="AS3:AV3"/>
    <mergeCell ref="AW3:AZ3"/>
    <mergeCell ref="A7:A12"/>
    <mergeCell ref="C1:K1"/>
    <mergeCell ref="M1:U1"/>
    <mergeCell ref="W1:AE1"/>
    <mergeCell ref="AG1:AO1"/>
    <mergeCell ref="AB3:AE3"/>
    <mergeCell ref="AG3:AJ3"/>
    <mergeCell ref="AL3:AO3"/>
    <mergeCell ref="A15:A20"/>
    <mergeCell ref="A23:A28"/>
    <mergeCell ref="A31:A36"/>
    <mergeCell ref="A39:A44"/>
    <mergeCell ref="A47:A5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6A7F6-50A9-460F-85FB-47766264ABAB}">
  <sheetPr>
    <tabColor rgb="FF92D050"/>
  </sheetPr>
  <dimension ref="A1:BB52"/>
  <sheetViews>
    <sheetView showGridLines="0" zoomScale="85" zoomScaleNormal="85" workbookViewId="0">
      <pane xSplit="2" ySplit="6" topLeftCell="C7" activePane="bottomRight" state="frozen"/>
      <selection pane="topRight" activeCell="C1" sqref="C1"/>
      <selection pane="bottomLeft" activeCell="A8" sqref="A8"/>
      <selection pane="bottomRight" activeCell="M7" sqref="M7"/>
    </sheetView>
  </sheetViews>
  <sheetFormatPr defaultColWidth="8.85546875" defaultRowHeight="15" x14ac:dyDescent="0.25"/>
  <cols>
    <col min="1" max="1" width="10" style="1" customWidth="1"/>
    <col min="2" max="2" width="20" style="25" bestFit="1" customWidth="1"/>
    <col min="3" max="6" width="12.5703125" style="1" customWidth="1"/>
    <col min="7" max="7" width="1.5703125" style="1" customWidth="1"/>
    <col min="8" max="11" width="12.5703125" style="1" customWidth="1"/>
    <col min="12" max="12" width="2.5703125" style="1" customWidth="1"/>
    <col min="13" max="16" width="12.5703125" style="1" customWidth="1"/>
    <col min="17" max="17" width="1.5703125" style="1" customWidth="1"/>
    <col min="18" max="21" width="12.5703125" style="1" customWidth="1"/>
    <col min="22" max="22" width="1.5703125" style="1" hidden="1" customWidth="1"/>
    <col min="23" max="26" width="12.5703125" style="1" hidden="1" customWidth="1"/>
    <col min="27" max="27" width="1.5703125" style="1" hidden="1" customWidth="1"/>
    <col min="28" max="31" width="12.5703125" style="1" hidden="1" customWidth="1"/>
    <col min="32" max="32" width="5.28515625" customWidth="1"/>
    <col min="33" max="36" width="12.5703125" style="1" customWidth="1"/>
    <col min="37" max="37" width="1.5703125" style="1" customWidth="1"/>
    <col min="38" max="41" width="12.5703125" style="1" customWidth="1"/>
    <col min="42" max="42" width="5.42578125" customWidth="1"/>
    <col min="43" max="43" width="8.85546875" style="1" hidden="1" customWidth="1"/>
    <col min="44" max="44" width="6.42578125" style="1" hidden="1" customWidth="1"/>
    <col min="45" max="54" width="12.5703125" style="1" hidden="1" customWidth="1"/>
    <col min="55" max="16384" width="8.85546875" style="1"/>
  </cols>
  <sheetData>
    <row r="1" spans="1:54" ht="19.5" thickBot="1" x14ac:dyDescent="0.35">
      <c r="A1" s="32" t="s">
        <v>94</v>
      </c>
      <c r="B1" s="36"/>
      <c r="C1" s="224" t="s">
        <v>125</v>
      </c>
      <c r="D1" s="225"/>
      <c r="E1" s="225"/>
      <c r="F1" s="225"/>
      <c r="G1" s="225"/>
      <c r="H1" s="225"/>
      <c r="I1" s="225"/>
      <c r="J1" s="225"/>
      <c r="K1" s="226"/>
      <c r="L1" s="3"/>
      <c r="M1" s="227" t="s">
        <v>126</v>
      </c>
      <c r="N1" s="228"/>
      <c r="O1" s="228"/>
      <c r="P1" s="228"/>
      <c r="Q1" s="228"/>
      <c r="R1" s="228"/>
      <c r="S1" s="228"/>
      <c r="T1" s="228"/>
      <c r="U1" s="229"/>
      <c r="W1" s="230" t="s">
        <v>95</v>
      </c>
      <c r="X1" s="231"/>
      <c r="Y1" s="231"/>
      <c r="Z1" s="231"/>
      <c r="AA1" s="231"/>
      <c r="AB1" s="231"/>
      <c r="AC1" s="231"/>
      <c r="AD1" s="231"/>
      <c r="AE1" s="232"/>
      <c r="AF1" s="84"/>
      <c r="AG1" s="230" t="s">
        <v>127</v>
      </c>
      <c r="AH1" s="231"/>
      <c r="AI1" s="231"/>
      <c r="AJ1" s="231"/>
      <c r="AK1" s="231"/>
      <c r="AL1" s="231"/>
      <c r="AM1" s="231"/>
      <c r="AN1" s="231"/>
      <c r="AO1" s="232"/>
      <c r="AP1" s="84"/>
    </row>
    <row r="2" spans="1:54" ht="15.75" thickBot="1" x14ac:dyDescent="0.3">
      <c r="A2" s="32" t="s">
        <v>96</v>
      </c>
      <c r="B2" s="36"/>
      <c r="AJ2" s="82">
        <v>0.5</v>
      </c>
      <c r="AR2" s="239" t="s">
        <v>97</v>
      </c>
      <c r="AS2" s="239"/>
      <c r="AT2" s="239"/>
      <c r="AU2" s="239"/>
      <c r="AV2" s="239"/>
      <c r="AW2" s="239"/>
      <c r="AX2" s="239"/>
      <c r="AY2" s="239"/>
      <c r="AZ2" s="239"/>
      <c r="BA2" s="239"/>
      <c r="BB2" s="239"/>
    </row>
    <row r="3" spans="1:54" s="4" customFormat="1" ht="15.75" thickBot="1" x14ac:dyDescent="0.3">
      <c r="A3" s="32" t="s">
        <v>98</v>
      </c>
      <c r="B3" s="34">
        <f>B2-B1+1</f>
        <v>1</v>
      </c>
      <c r="C3" s="236" t="s">
        <v>20</v>
      </c>
      <c r="D3" s="237"/>
      <c r="E3" s="237"/>
      <c r="F3" s="238"/>
      <c r="H3" s="233" t="s">
        <v>21</v>
      </c>
      <c r="I3" s="234"/>
      <c r="J3" s="234"/>
      <c r="K3" s="235"/>
      <c r="M3" s="236" t="s">
        <v>20</v>
      </c>
      <c r="N3" s="237"/>
      <c r="O3" s="237"/>
      <c r="P3" s="238"/>
      <c r="R3" s="233" t="s">
        <v>21</v>
      </c>
      <c r="S3" s="234"/>
      <c r="T3" s="234"/>
      <c r="U3" s="235"/>
      <c r="V3" s="1"/>
      <c r="W3" s="236" t="s">
        <v>20</v>
      </c>
      <c r="X3" s="237"/>
      <c r="Y3" s="237"/>
      <c r="Z3" s="238"/>
      <c r="AB3" s="233" t="s">
        <v>21</v>
      </c>
      <c r="AC3" s="234"/>
      <c r="AD3" s="234"/>
      <c r="AE3" s="235"/>
      <c r="AF3" s="85"/>
      <c r="AG3" s="236" t="s">
        <v>20</v>
      </c>
      <c r="AH3" s="237"/>
      <c r="AI3" s="237"/>
      <c r="AJ3" s="238"/>
      <c r="AL3" s="233" t="s">
        <v>21</v>
      </c>
      <c r="AM3" s="234"/>
      <c r="AN3" s="234"/>
      <c r="AO3" s="235"/>
      <c r="AP3" s="85"/>
      <c r="AS3" s="240" t="s">
        <v>99</v>
      </c>
      <c r="AT3" s="241"/>
      <c r="AU3" s="241"/>
      <c r="AV3" s="242"/>
      <c r="AW3" s="240" t="s">
        <v>100</v>
      </c>
      <c r="AX3" s="241"/>
      <c r="AY3" s="241"/>
      <c r="AZ3" s="242"/>
    </row>
    <row r="4" spans="1:54" ht="1.5" customHeight="1" thickBot="1" x14ac:dyDescent="0.3">
      <c r="B4" s="32">
        <v>102</v>
      </c>
      <c r="C4" s="2"/>
      <c r="D4" s="2"/>
      <c r="E4" s="2"/>
      <c r="F4" s="2"/>
      <c r="H4" s="2"/>
      <c r="I4" s="2"/>
      <c r="J4" s="2"/>
      <c r="K4" s="2"/>
      <c r="M4" s="2"/>
      <c r="N4" s="2"/>
      <c r="O4" s="2"/>
      <c r="P4" s="2"/>
      <c r="R4" s="2"/>
      <c r="S4" s="2"/>
      <c r="T4" s="2"/>
      <c r="U4" s="2"/>
      <c r="W4" s="2"/>
      <c r="X4" s="2"/>
      <c r="Y4" s="2"/>
      <c r="Z4" s="2"/>
      <c r="AB4" s="2"/>
      <c r="AC4" s="2"/>
      <c r="AD4" s="2"/>
      <c r="AE4" s="2"/>
      <c r="AF4" s="86"/>
      <c r="AG4" s="2"/>
      <c r="AH4" s="2"/>
      <c r="AI4" s="2"/>
      <c r="AJ4" s="2"/>
      <c r="AL4" s="2"/>
      <c r="AM4" s="2"/>
      <c r="AN4" s="2"/>
      <c r="AO4" s="2"/>
      <c r="AP4" s="86"/>
      <c r="AS4" s="63"/>
      <c r="AV4" s="57"/>
      <c r="AW4" s="63"/>
      <c r="AZ4" s="57"/>
    </row>
    <row r="5" spans="1:54" s="18" customFormat="1" ht="68.25" customHeight="1" thickBot="1" x14ac:dyDescent="0.3">
      <c r="A5" s="33" t="s">
        <v>101</v>
      </c>
      <c r="B5" s="35">
        <f>IF((B3-31)/7&gt;0,ROUNDUP((B3-31)/7,0),0)</f>
        <v>0</v>
      </c>
      <c r="C5" s="19" t="s">
        <v>22</v>
      </c>
      <c r="D5" s="20" t="s">
        <v>28</v>
      </c>
      <c r="E5" s="20" t="s">
        <v>102</v>
      </c>
      <c r="F5" s="21" t="s">
        <v>103</v>
      </c>
      <c r="G5" s="4"/>
      <c r="H5" s="22" t="s">
        <v>22</v>
      </c>
      <c r="I5" s="23" t="s">
        <v>28</v>
      </c>
      <c r="J5" s="23" t="s">
        <v>102</v>
      </c>
      <c r="K5" s="24" t="s">
        <v>103</v>
      </c>
      <c r="M5" s="19" t="s">
        <v>22</v>
      </c>
      <c r="N5" s="20" t="s">
        <v>28</v>
      </c>
      <c r="O5" s="20" t="s">
        <v>102</v>
      </c>
      <c r="P5" s="21" t="s">
        <v>103</v>
      </c>
      <c r="Q5" s="4"/>
      <c r="R5" s="22" t="s">
        <v>22</v>
      </c>
      <c r="S5" s="23" t="s">
        <v>28</v>
      </c>
      <c r="T5" s="23" t="s">
        <v>102</v>
      </c>
      <c r="U5" s="24" t="s">
        <v>103</v>
      </c>
      <c r="V5" s="1"/>
      <c r="W5" s="19" t="s">
        <v>22</v>
      </c>
      <c r="X5" s="20" t="s">
        <v>28</v>
      </c>
      <c r="Y5" s="20" t="s">
        <v>102</v>
      </c>
      <c r="Z5" s="21" t="s">
        <v>103</v>
      </c>
      <c r="AA5" s="4"/>
      <c r="AB5" s="22" t="s">
        <v>22</v>
      </c>
      <c r="AC5" s="23" t="s">
        <v>28</v>
      </c>
      <c r="AD5" s="23" t="s">
        <v>102</v>
      </c>
      <c r="AE5" s="24" t="s">
        <v>103</v>
      </c>
      <c r="AF5" s="87"/>
      <c r="AG5" s="19" t="s">
        <v>22</v>
      </c>
      <c r="AH5" s="20" t="s">
        <v>28</v>
      </c>
      <c r="AI5" s="20" t="s">
        <v>102</v>
      </c>
      <c r="AJ5" s="21" t="s">
        <v>103</v>
      </c>
      <c r="AK5" s="4"/>
      <c r="AL5" s="22" t="s">
        <v>22</v>
      </c>
      <c r="AM5" s="23" t="s">
        <v>28</v>
      </c>
      <c r="AN5" s="23" t="s">
        <v>102</v>
      </c>
      <c r="AO5" s="24" t="s">
        <v>103</v>
      </c>
      <c r="AP5" s="87"/>
      <c r="AR5" s="66" t="s">
        <v>104</v>
      </c>
      <c r="AS5" s="61" t="s">
        <v>105</v>
      </c>
      <c r="AT5" s="62" t="s">
        <v>106</v>
      </c>
      <c r="AU5" s="62" t="s">
        <v>107</v>
      </c>
      <c r="AV5" s="60" t="s">
        <v>108</v>
      </c>
      <c r="AW5" s="61" t="s">
        <v>109</v>
      </c>
      <c r="AX5" s="62" t="s">
        <v>110</v>
      </c>
      <c r="AY5" s="62" t="s">
        <v>111</v>
      </c>
      <c r="AZ5" s="60" t="s">
        <v>112</v>
      </c>
      <c r="BA5" s="66" t="s">
        <v>113</v>
      </c>
      <c r="BB5" s="62" t="s">
        <v>114</v>
      </c>
    </row>
    <row r="6" spans="1:54" ht="12.75" customHeight="1" thickBot="1" x14ac:dyDescent="0.3">
      <c r="AR6" s="55"/>
      <c r="AS6" s="63"/>
      <c r="AV6" s="57"/>
      <c r="AW6" s="63"/>
      <c r="AZ6" s="57"/>
      <c r="BA6" s="55"/>
    </row>
    <row r="7" spans="1:54" ht="12.75" customHeight="1" x14ac:dyDescent="0.25">
      <c r="A7" s="221" t="s">
        <v>115</v>
      </c>
      <c r="B7" s="26" t="s">
        <v>23</v>
      </c>
      <c r="C7" s="169">
        <f>'Single Trip Inc Cruise re Jan25'!C5</f>
        <v>8.98</v>
      </c>
      <c r="D7" s="106">
        <f>'Single Trip Inc Cruise re Jan25'!C12</f>
        <v>11.07</v>
      </c>
      <c r="E7" s="106">
        <f>'Single Trip Inc Cruise re Jan25'!C20</f>
        <v>23.2</v>
      </c>
      <c r="F7" s="107">
        <f>'Single Trip Inc Cruise re Jan25'!C28</f>
        <v>26.38</v>
      </c>
      <c r="G7" s="108"/>
      <c r="H7" s="109">
        <f>'Single Trip Inc Cruise re Jan25'!D5</f>
        <v>13.17</v>
      </c>
      <c r="I7" s="110">
        <f>'Single Trip Inc Cruise re Jan25'!D12</f>
        <v>17.55</v>
      </c>
      <c r="J7" s="110">
        <f>'Single Trip Inc Cruise re Jan25'!D20</f>
        <v>28.27</v>
      </c>
      <c r="K7" s="111">
        <f>'Single Trip Inc Cruise re Jan25'!D28</f>
        <v>31.02</v>
      </c>
      <c r="L7" s="8"/>
      <c r="M7" s="5">
        <f>'Single Trip Inc Cruise re Jan25'!L5</f>
        <v>11.693000000000001</v>
      </c>
      <c r="N7" s="6">
        <f>'Single Trip Inc Cruise re Jan25'!L12</f>
        <v>14.421000000000001</v>
      </c>
      <c r="O7" s="6">
        <f>'Single Trip Inc Cruise re Jan25'!L20</f>
        <v>30.217000000000002</v>
      </c>
      <c r="P7" s="107">
        <f>'Single Trip Inc Cruise re Jan25'!L28</f>
        <v>34.353000000000002</v>
      </c>
      <c r="Q7" s="8"/>
      <c r="R7" s="9">
        <f>'Single Trip Inc Cruise re Jan25'!M5</f>
        <v>17.149000000000001</v>
      </c>
      <c r="S7" s="10">
        <f>'Single Trip Inc Cruise re Jan25'!M12</f>
        <v>22.858000000000004</v>
      </c>
      <c r="T7" s="10">
        <f>'Single Trip Inc Cruise re Jan25'!M20</f>
        <v>36.817</v>
      </c>
      <c r="U7" s="11">
        <f>'Single Trip Inc Cruise re Jan25'!M28</f>
        <v>40.402999999999999</v>
      </c>
      <c r="W7" s="5" t="e">
        <f>SUM(C7/(1-#REF!)*1.2,1)</f>
        <v>#REF!</v>
      </c>
      <c r="X7" s="6" t="e">
        <f>SUM(D7/(1-#REF!)*1.2,1)</f>
        <v>#REF!</v>
      </c>
      <c r="Y7" s="6" t="e">
        <f>SUM(E7/(1-#REF!)*1.2,1)</f>
        <v>#REF!</v>
      </c>
      <c r="Z7" s="7" t="e">
        <f>SUM(F7/(1-#REF!)*1.2,1)</f>
        <v>#REF!</v>
      </c>
      <c r="AA7" s="8"/>
      <c r="AB7" s="9" t="e">
        <f>SUM(H7/(1-#REF!)*1.2,1)</f>
        <v>#REF!</v>
      </c>
      <c r="AC7" s="10" t="e">
        <f>SUM(I7/(1-#REF!)*1.2,1)</f>
        <v>#REF!</v>
      </c>
      <c r="AD7" s="10" t="e">
        <f>SUM(J7/(1-#REF!)*1.2,1)</f>
        <v>#REF!</v>
      </c>
      <c r="AE7" s="11" t="e">
        <f>SUM(K7/(1-#REF!)*1.2,1)</f>
        <v>#REF!</v>
      </c>
      <c r="AF7" s="88"/>
      <c r="AG7" s="5">
        <f>ROUNDDOWN(C7/(1-$AJ$2)*1.2,1)</f>
        <v>21.5</v>
      </c>
      <c r="AH7" s="6">
        <f>ROUNDDOWN(D7/(1-$AJ$2)*1.2,1)</f>
        <v>26.5</v>
      </c>
      <c r="AI7" s="6">
        <f>ROUNDDOWN(E7/(1-$AJ$2)*1.2,1)</f>
        <v>55.6</v>
      </c>
      <c r="AJ7" s="107">
        <f>ROUNDDOWN(F7/(1-$AJ$2)*1.2,1)</f>
        <v>63.3</v>
      </c>
      <c r="AK7" s="108"/>
      <c r="AL7" s="109">
        <f>ROUNDDOWN(H7/(1-$AJ$2)*1.2,1)</f>
        <v>31.6</v>
      </c>
      <c r="AM7" s="10">
        <f t="shared" ref="AM7:AO12" si="0">ROUNDDOWN(I7/(1-$AJ$2)*1.2,1)</f>
        <v>42.1</v>
      </c>
      <c r="AN7" s="10">
        <f t="shared" si="0"/>
        <v>67.8</v>
      </c>
      <c r="AO7" s="11">
        <f t="shared" si="0"/>
        <v>74.400000000000006</v>
      </c>
      <c r="AP7" s="88"/>
      <c r="AQ7" s="32" t="s">
        <v>116</v>
      </c>
      <c r="AR7" s="67">
        <f>N7</f>
        <v>14.421000000000001</v>
      </c>
      <c r="AS7" s="64">
        <f>AT7-AR7</f>
        <v>14.421000000000001</v>
      </c>
      <c r="AT7" s="56">
        <f>AR7*2</f>
        <v>28.842000000000002</v>
      </c>
      <c r="AU7" s="65">
        <f>AV7-AT7</f>
        <v>28.842000000000002</v>
      </c>
      <c r="AV7" s="58">
        <f>AT7*2</f>
        <v>57.684000000000005</v>
      </c>
      <c r="AW7" s="64" t="e">
        <f>#REF!</f>
        <v>#REF!</v>
      </c>
      <c r="AX7" s="56" t="e">
        <f>AV7+AW7</f>
        <v>#REF!</v>
      </c>
      <c r="AY7" s="65" t="e">
        <f>#REF!</f>
        <v>#REF!</v>
      </c>
      <c r="AZ7" s="58" t="e">
        <f>AX7+AY7</f>
        <v>#REF!</v>
      </c>
      <c r="BA7" s="67">
        <f>AR7*0.15</f>
        <v>2.1631499999999999</v>
      </c>
      <c r="BB7" s="56" t="e">
        <f>AZ7-BA7</f>
        <v>#REF!</v>
      </c>
    </row>
    <row r="8" spans="1:54" ht="14.45" customHeight="1" x14ac:dyDescent="0.25">
      <c r="A8" s="222"/>
      <c r="B8" s="27" t="s">
        <v>24</v>
      </c>
      <c r="C8" s="112">
        <f>'Single Trip Inc Cruise re Jan25'!C6</f>
        <v>9.39</v>
      </c>
      <c r="D8" s="113">
        <f>'Single Trip Inc Cruise re Jan25'!C13</f>
        <v>13.95</v>
      </c>
      <c r="E8" s="113">
        <f>'Single Trip Inc Cruise re Jan25'!C21</f>
        <v>27.51</v>
      </c>
      <c r="F8" s="114">
        <f>'Single Trip Inc Cruise re Jan25'!C29</f>
        <v>31.48</v>
      </c>
      <c r="G8" s="108"/>
      <c r="H8" s="115">
        <f>'Single Trip Inc Cruise re Jan25'!D6</f>
        <v>13.79</v>
      </c>
      <c r="I8" s="116">
        <f>'Single Trip Inc Cruise re Jan25'!D13</f>
        <v>20.79</v>
      </c>
      <c r="J8" s="116">
        <f>'Single Trip Inc Cruise re Jan25'!D21</f>
        <v>31.24</v>
      </c>
      <c r="K8" s="117">
        <f>'Single Trip Inc Cruise re Jan25'!D29</f>
        <v>36.880000000000003</v>
      </c>
      <c r="L8" s="8"/>
      <c r="M8" s="12">
        <f>'Single Trip Inc Cruise re Jan25'!L6</f>
        <v>12.231999999999999</v>
      </c>
      <c r="N8" s="13">
        <f>'Single Trip Inc Cruise re Jan25'!L13</f>
        <v>18.172000000000001</v>
      </c>
      <c r="O8" s="13">
        <f>'Single Trip Inc Cruise re Jan25'!L21</f>
        <v>35.827000000000005</v>
      </c>
      <c r="P8" s="114">
        <f>'Single Trip Inc Cruise re Jan25'!L29</f>
        <v>40.997000000000007</v>
      </c>
      <c r="Q8" s="8"/>
      <c r="R8" s="15">
        <f>'Single Trip Inc Cruise re Jan25'!M6</f>
        <v>17.963000000000001</v>
      </c>
      <c r="S8" s="16">
        <f>'Single Trip Inc Cruise re Jan25'!M13</f>
        <v>27.082000000000004</v>
      </c>
      <c r="T8" s="16">
        <f>'Single Trip Inc Cruise re Jan25'!M21</f>
        <v>40.689000000000007</v>
      </c>
      <c r="U8" s="17">
        <f>'Single Trip Inc Cruise re Jan25'!M29</f>
        <v>48.037000000000006</v>
      </c>
      <c r="W8" s="12" t="e">
        <f>SUM(C8/(1-#REF!)*1.2,1)</f>
        <v>#REF!</v>
      </c>
      <c r="X8" s="13" t="e">
        <f>SUM(D8/(1-#REF!)*1.2,1)</f>
        <v>#REF!</v>
      </c>
      <c r="Y8" s="13" t="e">
        <f>SUM(E8/(1-#REF!)*1.2,1)</f>
        <v>#REF!</v>
      </c>
      <c r="Z8" s="14" t="e">
        <f>SUM(F8/(1-#REF!)*1.2,1)</f>
        <v>#REF!</v>
      </c>
      <c r="AA8" s="8"/>
      <c r="AB8" s="15" t="e">
        <f>SUM(H8/(1-#REF!)*1.2,1)</f>
        <v>#REF!</v>
      </c>
      <c r="AC8" s="16" t="e">
        <f>SUM(I8/(1-#REF!)*1.2,1)</f>
        <v>#REF!</v>
      </c>
      <c r="AD8" s="16" t="e">
        <f>SUM(J8/(1-#REF!)*1.2,1)</f>
        <v>#REF!</v>
      </c>
      <c r="AE8" s="17" t="e">
        <f>SUM(K8/(1-#REF!)*1.2,1)</f>
        <v>#REF!</v>
      </c>
      <c r="AF8" s="88"/>
      <c r="AG8" s="12">
        <f t="shared" ref="AG8:AJ12" si="1">ROUNDDOWN(C8/(1-$AJ$2)*1.2,1)</f>
        <v>22.5</v>
      </c>
      <c r="AH8" s="13">
        <f t="shared" si="1"/>
        <v>33.4</v>
      </c>
      <c r="AI8" s="13">
        <f t="shared" si="1"/>
        <v>66</v>
      </c>
      <c r="AJ8" s="114">
        <f t="shared" si="1"/>
        <v>75.5</v>
      </c>
      <c r="AK8" s="108"/>
      <c r="AL8" s="115">
        <f t="shared" ref="AL8:AL11" si="2">ROUNDDOWN(H8/(1-$AJ$2)*1.2,1)</f>
        <v>33</v>
      </c>
      <c r="AM8" s="16">
        <f t="shared" si="0"/>
        <v>49.8</v>
      </c>
      <c r="AN8" s="16">
        <f t="shared" si="0"/>
        <v>74.900000000000006</v>
      </c>
      <c r="AO8" s="17">
        <f t="shared" si="0"/>
        <v>88.5</v>
      </c>
      <c r="AP8" s="88"/>
      <c r="AQ8" s="73" t="s">
        <v>117</v>
      </c>
      <c r="AR8" s="68">
        <f>D7</f>
        <v>11.07</v>
      </c>
      <c r="AS8" s="69">
        <f>AT8-AR8</f>
        <v>11.07</v>
      </c>
      <c r="AT8" s="70">
        <f>AR8*2</f>
        <v>22.14</v>
      </c>
      <c r="AU8" s="71">
        <f>AV8-AT8</f>
        <v>22.14</v>
      </c>
      <c r="AV8" s="72">
        <f>AT8*2</f>
        <v>44.28</v>
      </c>
      <c r="AW8" s="69" t="e">
        <f>#REF!</f>
        <v>#REF!</v>
      </c>
      <c r="AX8" s="70" t="e">
        <f>AV8+AW8</f>
        <v>#REF!</v>
      </c>
      <c r="AY8" s="71" t="e">
        <f>#REF!</f>
        <v>#REF!</v>
      </c>
      <c r="AZ8" s="72" t="e">
        <f>AX8+AY8</f>
        <v>#REF!</v>
      </c>
      <c r="BA8" s="68">
        <f>AR8*0.15</f>
        <v>1.6605000000000001</v>
      </c>
      <c r="BB8" s="70" t="e">
        <f>AZ8-BA8</f>
        <v>#REF!</v>
      </c>
    </row>
    <row r="9" spans="1:54" ht="14.45" customHeight="1" x14ac:dyDescent="0.25">
      <c r="A9" s="222"/>
      <c r="B9" s="27" t="s">
        <v>25</v>
      </c>
      <c r="C9" s="112">
        <f>'Single Trip Inc Cruise re Jan25'!C7</f>
        <v>10.25</v>
      </c>
      <c r="D9" s="113">
        <f>'Single Trip Inc Cruise re Jan25'!C14</f>
        <v>16.22</v>
      </c>
      <c r="E9" s="113">
        <f>'Single Trip Inc Cruise re Jan25'!C22</f>
        <v>33.1</v>
      </c>
      <c r="F9" s="114">
        <f>'Single Trip Inc Cruise re Jan25'!C30</f>
        <v>38.340000000000003</v>
      </c>
      <c r="G9" s="108"/>
      <c r="H9" s="115">
        <f>'Single Trip Inc Cruise re Jan25'!D7</f>
        <v>15.12</v>
      </c>
      <c r="I9" s="116">
        <f>'Single Trip Inc Cruise re Jan25'!D14</f>
        <v>23.19</v>
      </c>
      <c r="J9" s="116">
        <f>'Single Trip Inc Cruise re Jan25'!D22</f>
        <v>37.92</v>
      </c>
      <c r="K9" s="117">
        <f>'Single Trip Inc Cruise re Jan25'!D30</f>
        <v>42.39</v>
      </c>
      <c r="L9" s="8"/>
      <c r="M9" s="12">
        <f>'Single Trip Inc Cruise re Jan25'!L7</f>
        <v>13.354000000000001</v>
      </c>
      <c r="N9" s="13">
        <f>'Single Trip Inc Cruise re Jan25'!L14</f>
        <v>21.12</v>
      </c>
      <c r="O9" s="13">
        <f>'Single Trip Inc Cruise re Jan25'!L22</f>
        <v>43.109000000000002</v>
      </c>
      <c r="P9" s="114">
        <f>'Single Trip Inc Cruise re Jan25'!L30</f>
        <v>49.929000000000002</v>
      </c>
      <c r="Q9" s="8"/>
      <c r="R9" s="15">
        <f>'Single Trip Inc Cruise re Jan25'!M7</f>
        <v>19.690000000000001</v>
      </c>
      <c r="S9" s="16">
        <f>'Single Trip Inc Cruise re Jan25'!M14</f>
        <v>30.206000000000003</v>
      </c>
      <c r="T9" s="16">
        <f>'Single Trip Inc Cruise re Jan25'!M22</f>
        <v>49.39</v>
      </c>
      <c r="U9" s="17">
        <f>'Single Trip Inc Cruise re Jan25'!M30</f>
        <v>55.209000000000003</v>
      </c>
      <c r="W9" s="12" t="e">
        <f>SUM(C9/(1-#REF!)*1.2,1)</f>
        <v>#REF!</v>
      </c>
      <c r="X9" s="13" t="e">
        <f>SUM(D9/(1-#REF!)*1.2,1)</f>
        <v>#REF!</v>
      </c>
      <c r="Y9" s="13" t="e">
        <f>SUM(E9/(1-#REF!)*1.2,1)</f>
        <v>#REF!</v>
      </c>
      <c r="Z9" s="14" t="e">
        <f>SUM(F9/(1-#REF!)*1.2,1)</f>
        <v>#REF!</v>
      </c>
      <c r="AA9" s="8"/>
      <c r="AB9" s="15" t="e">
        <f>SUM(H9/(1-#REF!)*1.2,1)</f>
        <v>#REF!</v>
      </c>
      <c r="AC9" s="16" t="e">
        <f>SUM(I9/(1-#REF!)*1.2,1)</f>
        <v>#REF!</v>
      </c>
      <c r="AD9" s="16" t="e">
        <f>SUM(J9/(1-#REF!)*1.2,1)</f>
        <v>#REF!</v>
      </c>
      <c r="AE9" s="17" t="e">
        <f>SUM(K9/(1-#REF!)*1.2,1)</f>
        <v>#REF!</v>
      </c>
      <c r="AF9" s="88"/>
      <c r="AG9" s="12">
        <f t="shared" si="1"/>
        <v>24.6</v>
      </c>
      <c r="AH9" s="13">
        <f t="shared" si="1"/>
        <v>38.9</v>
      </c>
      <c r="AI9" s="13">
        <f t="shared" si="1"/>
        <v>79.400000000000006</v>
      </c>
      <c r="AJ9" s="114">
        <f t="shared" si="1"/>
        <v>92</v>
      </c>
      <c r="AK9" s="108"/>
      <c r="AL9" s="115">
        <f t="shared" si="2"/>
        <v>36.200000000000003</v>
      </c>
      <c r="AM9" s="16">
        <f t="shared" si="0"/>
        <v>55.6</v>
      </c>
      <c r="AN9" s="16">
        <f t="shared" si="0"/>
        <v>91</v>
      </c>
      <c r="AO9" s="17">
        <f t="shared" si="0"/>
        <v>101.7</v>
      </c>
      <c r="AP9" s="88"/>
      <c r="AR9" s="37"/>
    </row>
    <row r="10" spans="1:54" ht="14.45" customHeight="1" x14ac:dyDescent="0.25">
      <c r="A10" s="222"/>
      <c r="B10" s="27" t="s">
        <v>26</v>
      </c>
      <c r="C10" s="112">
        <f>'Single Trip Inc Cruise re Jan25'!C8</f>
        <v>11.19</v>
      </c>
      <c r="D10" s="113">
        <f>'Single Trip Inc Cruise re Jan25'!C15</f>
        <v>21.09</v>
      </c>
      <c r="E10" s="113">
        <f>'Single Trip Inc Cruise re Jan25'!C23</f>
        <v>40.380000000000003</v>
      </c>
      <c r="F10" s="114">
        <f>'Single Trip Inc Cruise re Jan25'!C31</f>
        <v>47.52</v>
      </c>
      <c r="G10" s="108"/>
      <c r="H10" s="115">
        <f>'Single Trip Inc Cruise re Jan25'!D8</f>
        <v>16.53</v>
      </c>
      <c r="I10" s="116">
        <f>'Single Trip Inc Cruise re Jan25'!D15</f>
        <v>29.3</v>
      </c>
      <c r="J10" s="116">
        <f>'Single Trip Inc Cruise re Jan25'!D23</f>
        <v>46.28</v>
      </c>
      <c r="K10" s="117">
        <f>'Single Trip Inc Cruise re Jan25'!D31</f>
        <v>54.33</v>
      </c>
      <c r="L10" s="8"/>
      <c r="M10" s="12">
        <f>'Single Trip Inc Cruise re Jan25'!L8</f>
        <v>14.575000000000001</v>
      </c>
      <c r="N10" s="13">
        <f>'Single Trip Inc Cruise re Jan25'!L15</f>
        <v>27.467000000000002</v>
      </c>
      <c r="O10" s="13">
        <f>'Single Trip Inc Cruise re Jan25'!L23</f>
        <v>52.591000000000008</v>
      </c>
      <c r="P10" s="114">
        <f>'Single Trip Inc Cruise re Jan25'!L31</f>
        <v>61.886000000000003</v>
      </c>
      <c r="Q10" s="8"/>
      <c r="R10" s="15">
        <f>'Single Trip Inc Cruise re Jan25'!M8</f>
        <v>21.527000000000001</v>
      </c>
      <c r="S10" s="16">
        <f>'Single Trip Inc Cruise re Jan25'!M15</f>
        <v>38.158999999999999</v>
      </c>
      <c r="T10" s="16">
        <f>'Single Trip Inc Cruise re Jan25'!M23</f>
        <v>60.28</v>
      </c>
      <c r="U10" s="17">
        <f>'Single Trip Inc Cruise re Jan25'!M31</f>
        <v>70.763000000000005</v>
      </c>
      <c r="W10" s="12" t="e">
        <f>SUM(C10/(1-#REF!)*1.2,1)</f>
        <v>#REF!</v>
      </c>
      <c r="X10" s="13" t="e">
        <f>SUM(D10/(1-#REF!)*1.2,1)</f>
        <v>#REF!</v>
      </c>
      <c r="Y10" s="13" t="e">
        <f>SUM(E10/(1-#REF!)*1.2,1)</f>
        <v>#REF!</v>
      </c>
      <c r="Z10" s="14" t="e">
        <f>SUM(F10/(1-#REF!)*1.2,1)</f>
        <v>#REF!</v>
      </c>
      <c r="AA10" s="8"/>
      <c r="AB10" s="15" t="e">
        <f>SUM(H10/(1-#REF!)*1.2,1)</f>
        <v>#REF!</v>
      </c>
      <c r="AC10" s="16" t="e">
        <f>SUM(I10/(1-#REF!)*1.2,1)</f>
        <v>#REF!</v>
      </c>
      <c r="AD10" s="16" t="e">
        <f>SUM(J10/(1-#REF!)*1.2,1)</f>
        <v>#REF!</v>
      </c>
      <c r="AE10" s="17" t="e">
        <f>SUM(K10/(1-#REF!)*1.2,1)</f>
        <v>#REF!</v>
      </c>
      <c r="AF10" s="88"/>
      <c r="AG10" s="12">
        <f t="shared" si="1"/>
        <v>26.8</v>
      </c>
      <c r="AH10" s="13">
        <f t="shared" si="1"/>
        <v>50.6</v>
      </c>
      <c r="AI10" s="13">
        <f t="shared" si="1"/>
        <v>96.9</v>
      </c>
      <c r="AJ10" s="114">
        <f t="shared" si="1"/>
        <v>114</v>
      </c>
      <c r="AK10" s="108"/>
      <c r="AL10" s="115">
        <f t="shared" si="2"/>
        <v>39.6</v>
      </c>
      <c r="AM10" s="16">
        <f t="shared" si="0"/>
        <v>70.3</v>
      </c>
      <c r="AN10" s="16">
        <f t="shared" si="0"/>
        <v>111</v>
      </c>
      <c r="AO10" s="17">
        <f t="shared" si="0"/>
        <v>130.30000000000001</v>
      </c>
      <c r="AP10" s="88"/>
      <c r="AR10" s="37"/>
      <c r="AS10" s="37"/>
      <c r="AT10" s="37"/>
      <c r="AU10" s="37"/>
      <c r="AV10" s="37"/>
      <c r="AW10" s="37"/>
      <c r="AX10" s="37"/>
      <c r="AY10" s="37"/>
      <c r="AZ10" s="37"/>
      <c r="BA10" s="56"/>
      <c r="BB10" s="56"/>
    </row>
    <row r="11" spans="1:54" ht="14.45" customHeight="1" x14ac:dyDescent="0.25">
      <c r="A11" s="222"/>
      <c r="B11" s="27" t="s">
        <v>27</v>
      </c>
      <c r="C11" s="112">
        <f>'Single Trip Inc Cruise re Jan25'!C9</f>
        <v>11.21</v>
      </c>
      <c r="D11" s="113">
        <f>'Single Trip Inc Cruise re Jan25'!C16</f>
        <v>24.7</v>
      </c>
      <c r="E11" s="113">
        <f>'Single Trip Inc Cruise re Jan25'!C24</f>
        <v>45.11</v>
      </c>
      <c r="F11" s="114">
        <f>'Single Trip Inc Cruise re Jan25'!C32</f>
        <v>52.19</v>
      </c>
      <c r="G11" s="108"/>
      <c r="H11" s="115">
        <f>'Single Trip Inc Cruise re Jan25'!D9</f>
        <v>16.54</v>
      </c>
      <c r="I11" s="116">
        <f>'Single Trip Inc Cruise re Jan25'!D16</f>
        <v>34.15</v>
      </c>
      <c r="J11" s="116">
        <f>'Single Trip Inc Cruise re Jan25'!D24</f>
        <v>50.87</v>
      </c>
      <c r="K11" s="117">
        <f>'Single Trip Inc Cruise re Jan25'!D32</f>
        <v>58.62</v>
      </c>
      <c r="L11" s="8"/>
      <c r="M11" s="12">
        <f>'Single Trip Inc Cruise re Jan25'!L9</f>
        <v>14.597000000000001</v>
      </c>
      <c r="N11" s="13">
        <f>'Single Trip Inc Cruise re Jan25'!L16</f>
        <v>32.164000000000001</v>
      </c>
      <c r="O11" s="13">
        <f>'Single Trip Inc Cruise re Jan25'!L24</f>
        <v>58.750999999999998</v>
      </c>
      <c r="P11" s="114">
        <f>'Single Trip Inc Cruise re Jan25'!L32</f>
        <v>67.969000000000008</v>
      </c>
      <c r="Q11" s="8"/>
      <c r="R11" s="15">
        <f>'Single Trip Inc Cruise re Jan25'!M9</f>
        <v>21.538</v>
      </c>
      <c r="S11" s="16">
        <f>'Single Trip Inc Cruise re Jan25'!M16</f>
        <v>44.473000000000006</v>
      </c>
      <c r="T11" s="16">
        <f>'Single Trip Inc Cruise re Jan25'!M24</f>
        <v>66.253</v>
      </c>
      <c r="U11" s="17">
        <f>'Single Trip Inc Cruise re Jan25'!M32</f>
        <v>76.350999999999999</v>
      </c>
      <c r="W11" s="12" t="e">
        <f>SUM(C11/(1-#REF!)*1.2,1)</f>
        <v>#REF!</v>
      </c>
      <c r="X11" s="13" t="e">
        <f>SUM(D11/(1-#REF!)*1.2,1)</f>
        <v>#REF!</v>
      </c>
      <c r="Y11" s="13" t="e">
        <f>SUM(E11/(1-#REF!)*1.2,1)</f>
        <v>#REF!</v>
      </c>
      <c r="Z11" s="14" t="e">
        <f>SUM(F11/(1-#REF!)*1.2,1)</f>
        <v>#REF!</v>
      </c>
      <c r="AA11" s="8"/>
      <c r="AB11" s="15" t="e">
        <f>SUM(H11/(1-#REF!)*1.2,1)</f>
        <v>#REF!</v>
      </c>
      <c r="AC11" s="16" t="e">
        <f>SUM(I11/(1-#REF!)*1.2,1)</f>
        <v>#REF!</v>
      </c>
      <c r="AD11" s="16" t="e">
        <f>SUM(J11/(1-#REF!)*1.2,1)</f>
        <v>#REF!</v>
      </c>
      <c r="AE11" s="17" t="e">
        <f>SUM(K11/(1-#REF!)*1.2,1)</f>
        <v>#REF!</v>
      </c>
      <c r="AF11" s="88"/>
      <c r="AG11" s="112">
        <f t="shared" si="1"/>
        <v>26.9</v>
      </c>
      <c r="AH11" s="13">
        <f t="shared" si="1"/>
        <v>59.2</v>
      </c>
      <c r="AI11" s="13">
        <f t="shared" si="1"/>
        <v>108.2</v>
      </c>
      <c r="AJ11" s="114">
        <f t="shared" si="1"/>
        <v>125.2</v>
      </c>
      <c r="AK11" s="108"/>
      <c r="AL11" s="115">
        <f t="shared" si="2"/>
        <v>39.6</v>
      </c>
      <c r="AM11" s="16">
        <f t="shared" si="0"/>
        <v>81.900000000000006</v>
      </c>
      <c r="AN11" s="16">
        <f t="shared" si="0"/>
        <v>122</v>
      </c>
      <c r="AO11" s="17">
        <f t="shared" si="0"/>
        <v>140.6</v>
      </c>
      <c r="AP11" s="88"/>
    </row>
    <row r="12" spans="1:54" ht="14.45" customHeight="1" thickBot="1" x14ac:dyDescent="0.3">
      <c r="A12" s="223"/>
      <c r="B12" s="27" t="s">
        <v>29</v>
      </c>
      <c r="C12" s="112" t="s">
        <v>118</v>
      </c>
      <c r="D12" s="113">
        <f>'Single Trip Inc Cruise re Jan25'!C17</f>
        <v>3.15</v>
      </c>
      <c r="E12" s="113">
        <f>'Single Trip Inc Cruise re Jan25'!C25</f>
        <v>6.08</v>
      </c>
      <c r="F12" s="114">
        <f>'Single Trip Inc Cruise re Jan25'!C33</f>
        <v>8.1999999999999993</v>
      </c>
      <c r="G12" s="108"/>
      <c r="H12" s="115" t="s">
        <v>118</v>
      </c>
      <c r="I12" s="116">
        <f>'Single Trip Inc Cruise re Jan25'!D17</f>
        <v>4.28</v>
      </c>
      <c r="J12" s="116">
        <f>'Single Trip Inc Cruise re Jan25'!D25</f>
        <v>6.65</v>
      </c>
      <c r="K12" s="117">
        <f>'Single Trip Inc Cruise re Jan25'!D33</f>
        <v>8.8800000000000008</v>
      </c>
      <c r="L12" s="8"/>
      <c r="M12" s="12" t="s">
        <v>118</v>
      </c>
      <c r="N12" s="13">
        <f>'Single Trip Inc Cruise re Jan25'!L17</f>
        <v>4.1030000000000006</v>
      </c>
      <c r="O12" s="13">
        <f>'Single Trip Inc Cruise re Jan25'!L25</f>
        <v>7.9200000000000008</v>
      </c>
      <c r="P12" s="114">
        <f>'Single Trip Inc Cruise re Jan25'!L33</f>
        <v>10.681000000000001</v>
      </c>
      <c r="Q12" s="8"/>
      <c r="R12" s="15" t="s">
        <v>118</v>
      </c>
      <c r="S12" s="16">
        <f>'Single Trip Inc Cruise re Jan25'!M17</f>
        <v>5.5770000000000008</v>
      </c>
      <c r="T12" s="16">
        <f>'Single Trip Inc Cruise re Jan25'!M25</f>
        <v>8.657</v>
      </c>
      <c r="U12" s="17">
        <f>'Single Trip Inc Cruise re Jan25'!M33</f>
        <v>11.561</v>
      </c>
      <c r="W12" s="12" t="s">
        <v>118</v>
      </c>
      <c r="X12" s="13" t="e">
        <f>SUM(D12/(1-#REF!)*1.2,1)</f>
        <v>#REF!</v>
      </c>
      <c r="Y12" s="13" t="e">
        <f>SUM(E12/(1-#REF!)*1.2,1)</f>
        <v>#REF!</v>
      </c>
      <c r="Z12" s="14" t="e">
        <f>SUM(F12/(1-#REF!)*1.2,1)</f>
        <v>#REF!</v>
      </c>
      <c r="AA12" s="8"/>
      <c r="AB12" s="15" t="s">
        <v>118</v>
      </c>
      <c r="AC12" s="16" t="e">
        <f>SUM(I12/(1-#REF!)*1.2,1)</f>
        <v>#REF!</v>
      </c>
      <c r="AD12" s="16" t="e">
        <f>SUM(J12/(1-#REF!)*1.2,1)</f>
        <v>#REF!</v>
      </c>
      <c r="AE12" s="17" t="e">
        <f>SUM(K12/(1-#REF!)*1.2,1)</f>
        <v>#REF!</v>
      </c>
      <c r="AF12" s="88"/>
      <c r="AG12" s="112" t="s">
        <v>118</v>
      </c>
      <c r="AH12" s="13">
        <f t="shared" si="1"/>
        <v>7.5</v>
      </c>
      <c r="AI12" s="13">
        <f t="shared" si="1"/>
        <v>14.5</v>
      </c>
      <c r="AJ12" s="114">
        <f t="shared" si="1"/>
        <v>19.600000000000001</v>
      </c>
      <c r="AK12" s="108"/>
      <c r="AL12" s="115" t="s">
        <v>118</v>
      </c>
      <c r="AM12" s="16">
        <f t="shared" si="0"/>
        <v>10.199999999999999</v>
      </c>
      <c r="AN12" s="16">
        <f t="shared" si="0"/>
        <v>15.9</v>
      </c>
      <c r="AO12" s="17">
        <f t="shared" si="0"/>
        <v>21.3</v>
      </c>
      <c r="AP12" s="88"/>
    </row>
    <row r="13" spans="1:54" ht="5.0999999999999996" customHeight="1" thickBot="1" x14ac:dyDescent="0.3"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W13" s="8"/>
      <c r="X13" s="8"/>
      <c r="Y13" s="8"/>
      <c r="Z13" s="8"/>
      <c r="AA13" s="8"/>
      <c r="AB13" s="8"/>
      <c r="AC13" s="8"/>
      <c r="AD13" s="8"/>
      <c r="AE13" s="8"/>
      <c r="AF13" s="89"/>
      <c r="AG13" s="108"/>
      <c r="AH13" s="108"/>
      <c r="AI13" s="108"/>
      <c r="AJ13" s="108"/>
      <c r="AK13" s="108"/>
      <c r="AL13" s="108"/>
      <c r="AM13" s="108"/>
      <c r="AN13" s="108"/>
      <c r="AO13" s="108"/>
      <c r="AP13" s="89"/>
    </row>
    <row r="14" spans="1:54" ht="15.75" thickBot="1" x14ac:dyDescent="0.3">
      <c r="B14" s="28" t="s">
        <v>119</v>
      </c>
      <c r="C14" s="29">
        <v>1.0900000000000001</v>
      </c>
      <c r="D14" s="28"/>
      <c r="E14" s="28"/>
      <c r="F14" s="28"/>
      <c r="G14" s="28"/>
      <c r="H14" s="29">
        <v>1.0900000000000001</v>
      </c>
      <c r="I14" s="28"/>
      <c r="J14" s="28"/>
      <c r="K14" s="28"/>
      <c r="L14" s="28"/>
      <c r="M14" s="29">
        <v>1.0900000000000001</v>
      </c>
      <c r="N14" s="28"/>
      <c r="O14" s="28"/>
      <c r="P14" s="28"/>
      <c r="Q14" s="28"/>
      <c r="R14" s="29">
        <v>1.0900000000000001</v>
      </c>
      <c r="S14" s="8"/>
      <c r="T14" s="8"/>
      <c r="W14" s="31">
        <v>1.0798000000000001</v>
      </c>
      <c r="X14" s="28"/>
      <c r="Y14" s="28"/>
      <c r="Z14" s="28"/>
      <c r="AA14" s="28"/>
      <c r="AB14" s="31">
        <v>1.0798000000000001</v>
      </c>
      <c r="AC14" s="8"/>
      <c r="AD14" s="8"/>
      <c r="AG14" s="108"/>
      <c r="AH14" s="108"/>
      <c r="AI14" s="108"/>
      <c r="AJ14" s="108"/>
      <c r="AK14" s="108"/>
      <c r="AL14" s="108"/>
      <c r="AM14" s="108"/>
      <c r="AN14" s="108"/>
      <c r="AS14" s="32"/>
      <c r="AT14" s="56"/>
      <c r="AU14" s="56"/>
      <c r="AV14" s="56"/>
      <c r="AW14" s="56"/>
      <c r="AX14" s="56"/>
      <c r="AY14" s="56"/>
      <c r="AZ14" s="56"/>
    </row>
    <row r="15" spans="1:54" ht="14.45" customHeight="1" x14ac:dyDescent="0.25">
      <c r="A15" s="221" t="s">
        <v>120</v>
      </c>
      <c r="B15" s="26" t="s">
        <v>23</v>
      </c>
      <c r="C15" s="105">
        <f t="shared" ref="C15:C20" si="3">IFERROR(C7*C$14,"N/A")</f>
        <v>9.7882000000000016</v>
      </c>
      <c r="D15" s="106">
        <f t="shared" ref="D15:D20" si="4">IFERROR(D7*C$14,"N/A")</f>
        <v>12.066300000000002</v>
      </c>
      <c r="E15" s="106">
        <f t="shared" ref="E15:E20" si="5">IFERROR(E7*C$14,"N/A")</f>
        <v>25.288</v>
      </c>
      <c r="F15" s="107">
        <f t="shared" ref="F15:F20" si="6">IFERROR(F7*C$14,"N/A")</f>
        <v>28.754200000000001</v>
      </c>
      <c r="G15" s="108"/>
      <c r="H15" s="109">
        <f t="shared" ref="H15:H20" si="7">IFERROR(H7*H$14,"N/A")</f>
        <v>14.355300000000002</v>
      </c>
      <c r="I15" s="110">
        <f t="shared" ref="I15:I20" si="8">IFERROR(I7*H$14,"N/A")</f>
        <v>19.129500000000004</v>
      </c>
      <c r="J15" s="110">
        <f t="shared" ref="J15:J20" si="9">IFERROR(J7*H$14,"N/A")</f>
        <v>30.814300000000003</v>
      </c>
      <c r="K15" s="111">
        <f t="shared" ref="K15:K20" si="10">IFERROR(K7*H$14,"N/A")</f>
        <v>33.811800000000005</v>
      </c>
      <c r="L15" s="8"/>
      <c r="M15" s="5">
        <f t="shared" ref="M15:M20" si="11">IFERROR(M7*M$14,"N/A")</f>
        <v>12.745370000000003</v>
      </c>
      <c r="N15" s="6">
        <f t="shared" ref="N15:N20" si="12">IFERROR(N7*M$14,"N/A")</f>
        <v>15.718890000000002</v>
      </c>
      <c r="O15" s="6">
        <f t="shared" ref="O15:O20" si="13">IFERROR(O7*M$14,"N/A")</f>
        <v>32.936530000000005</v>
      </c>
      <c r="P15" s="7">
        <f t="shared" ref="P15:P20" si="14">IFERROR(P7*M$14,"N/A")</f>
        <v>37.444770000000005</v>
      </c>
      <c r="Q15" s="8"/>
      <c r="R15" s="9">
        <f t="shared" ref="R15:R20" si="15">IFERROR(R7*R$14,"N/A")</f>
        <v>18.692410000000002</v>
      </c>
      <c r="S15" s="10">
        <f t="shared" ref="S15:S20" si="16">IFERROR(S7*R$14,"N/A")</f>
        <v>24.915220000000005</v>
      </c>
      <c r="T15" s="10">
        <f t="shared" ref="T15:T20" si="17">IFERROR(T7*R$14,"N/A")</f>
        <v>40.13053</v>
      </c>
      <c r="U15" s="11">
        <f t="shared" ref="U15:U20" si="18">IFERROR(U7*R$14,"N/A")</f>
        <v>44.039270000000002</v>
      </c>
      <c r="W15" s="5" t="str">
        <f t="shared" ref="W15:W20" si="19">IFERROR(W7*W$14,"N/A")</f>
        <v>N/A</v>
      </c>
      <c r="X15" s="6" t="str">
        <f t="shared" ref="X15:X20" si="20">IFERROR(X7*W$14,"N/A")</f>
        <v>N/A</v>
      </c>
      <c r="Y15" s="6" t="str">
        <f t="shared" ref="Y15:Y20" si="21">IFERROR(Y7*W$14,"N/A")</f>
        <v>N/A</v>
      </c>
      <c r="Z15" s="7" t="str">
        <f t="shared" ref="Z15:Z20" si="22">IFERROR(Z7*W$14,"N/A")</f>
        <v>N/A</v>
      </c>
      <c r="AA15" s="8"/>
      <c r="AB15" s="9" t="str">
        <f t="shared" ref="AB15:AB20" si="23">IFERROR(AB7*AB$14,"N/A")</f>
        <v>N/A</v>
      </c>
      <c r="AC15" s="10" t="str">
        <f t="shared" ref="AC15:AC20" si="24">IFERROR(AC7*AB$14,"N/A")</f>
        <v>N/A</v>
      </c>
      <c r="AD15" s="10" t="str">
        <f t="shared" ref="AD15:AD20" si="25">IFERROR(AD7*AB$14,"N/A")</f>
        <v>N/A</v>
      </c>
      <c r="AE15" s="11" t="str">
        <f t="shared" ref="AE15:AE20" si="26">IFERROR(AE7*AB$14,"N/A")</f>
        <v>N/A</v>
      </c>
      <c r="AF15" s="88"/>
      <c r="AG15" s="5">
        <f t="shared" ref="AG15:AJ19" si="27">ROUNDDOWN(AG7*$C$14,1)</f>
        <v>23.4</v>
      </c>
      <c r="AH15" s="6">
        <f t="shared" si="27"/>
        <v>28.8</v>
      </c>
      <c r="AI15" s="6">
        <f t="shared" si="27"/>
        <v>60.6</v>
      </c>
      <c r="AJ15" s="107">
        <f t="shared" si="27"/>
        <v>68.900000000000006</v>
      </c>
      <c r="AK15" s="108"/>
      <c r="AL15" s="109">
        <f t="shared" ref="AL15:AO19" si="28">ROUNDDOWN(AL7*$C$14,1)</f>
        <v>34.4</v>
      </c>
      <c r="AM15" s="10">
        <f t="shared" si="28"/>
        <v>45.8</v>
      </c>
      <c r="AN15" s="10">
        <f t="shared" si="28"/>
        <v>73.900000000000006</v>
      </c>
      <c r="AO15" s="11">
        <f t="shared" si="28"/>
        <v>81</v>
      </c>
      <c r="AP15" s="88"/>
      <c r="AS15" s="32"/>
      <c r="AT15" s="56"/>
      <c r="AU15" s="56"/>
      <c r="AV15" s="56"/>
      <c r="AW15" s="56"/>
      <c r="AX15" s="56"/>
      <c r="AY15" s="56"/>
      <c r="AZ15" s="56"/>
    </row>
    <row r="16" spans="1:54" ht="14.45" customHeight="1" x14ac:dyDescent="0.25">
      <c r="A16" s="222"/>
      <c r="B16" s="27" t="s">
        <v>24</v>
      </c>
      <c r="C16" s="112">
        <f t="shared" si="3"/>
        <v>10.235100000000001</v>
      </c>
      <c r="D16" s="113">
        <f t="shared" si="4"/>
        <v>15.205500000000001</v>
      </c>
      <c r="E16" s="113">
        <f t="shared" si="5"/>
        <v>29.985900000000004</v>
      </c>
      <c r="F16" s="114">
        <f t="shared" si="6"/>
        <v>34.313200000000002</v>
      </c>
      <c r="G16" s="108"/>
      <c r="H16" s="115">
        <f t="shared" si="7"/>
        <v>15.0311</v>
      </c>
      <c r="I16" s="116">
        <f t="shared" si="8"/>
        <v>22.661100000000001</v>
      </c>
      <c r="J16" s="116">
        <f t="shared" si="9"/>
        <v>34.051600000000001</v>
      </c>
      <c r="K16" s="117">
        <f t="shared" si="10"/>
        <v>40.199200000000005</v>
      </c>
      <c r="L16" s="8"/>
      <c r="M16" s="12">
        <f t="shared" si="11"/>
        <v>13.332879999999999</v>
      </c>
      <c r="N16" s="13">
        <f t="shared" si="12"/>
        <v>19.807480000000002</v>
      </c>
      <c r="O16" s="13">
        <f t="shared" si="13"/>
        <v>39.051430000000011</v>
      </c>
      <c r="P16" s="14">
        <f t="shared" si="14"/>
        <v>44.686730000000011</v>
      </c>
      <c r="Q16" s="8"/>
      <c r="R16" s="15">
        <f t="shared" si="15"/>
        <v>19.579670000000004</v>
      </c>
      <c r="S16" s="16">
        <f t="shared" si="16"/>
        <v>29.519380000000005</v>
      </c>
      <c r="T16" s="16">
        <f t="shared" si="17"/>
        <v>44.351010000000009</v>
      </c>
      <c r="U16" s="17">
        <f t="shared" si="18"/>
        <v>52.360330000000012</v>
      </c>
      <c r="W16" s="12" t="str">
        <f t="shared" si="19"/>
        <v>N/A</v>
      </c>
      <c r="X16" s="13" t="str">
        <f t="shared" si="20"/>
        <v>N/A</v>
      </c>
      <c r="Y16" s="13" t="str">
        <f t="shared" si="21"/>
        <v>N/A</v>
      </c>
      <c r="Z16" s="14" t="str">
        <f t="shared" si="22"/>
        <v>N/A</v>
      </c>
      <c r="AA16" s="8"/>
      <c r="AB16" s="15" t="str">
        <f t="shared" si="23"/>
        <v>N/A</v>
      </c>
      <c r="AC16" s="16" t="str">
        <f t="shared" si="24"/>
        <v>N/A</v>
      </c>
      <c r="AD16" s="16" t="str">
        <f t="shared" si="25"/>
        <v>N/A</v>
      </c>
      <c r="AE16" s="17" t="str">
        <f t="shared" si="26"/>
        <v>N/A</v>
      </c>
      <c r="AF16" s="88"/>
      <c r="AG16" s="12">
        <f t="shared" si="27"/>
        <v>24.5</v>
      </c>
      <c r="AH16" s="13">
        <f t="shared" si="27"/>
        <v>36.4</v>
      </c>
      <c r="AI16" s="13">
        <f t="shared" si="27"/>
        <v>71.900000000000006</v>
      </c>
      <c r="AJ16" s="114">
        <f t="shared" si="27"/>
        <v>82.2</v>
      </c>
      <c r="AK16" s="108"/>
      <c r="AL16" s="115">
        <f t="shared" si="28"/>
        <v>35.9</v>
      </c>
      <c r="AM16" s="16">
        <f t="shared" si="28"/>
        <v>54.2</v>
      </c>
      <c r="AN16" s="16">
        <f t="shared" si="28"/>
        <v>81.599999999999994</v>
      </c>
      <c r="AO16" s="17">
        <f t="shared" si="28"/>
        <v>96.4</v>
      </c>
      <c r="AP16" s="88"/>
      <c r="AQ16" s="37"/>
      <c r="AR16" s="37"/>
      <c r="AS16" s="32"/>
      <c r="AT16" s="56"/>
      <c r="AU16" s="56"/>
      <c r="AV16" s="56"/>
      <c r="AW16" s="56"/>
      <c r="AX16" s="56"/>
      <c r="AY16" s="56"/>
      <c r="AZ16" s="56"/>
    </row>
    <row r="17" spans="1:52" ht="14.45" customHeight="1" x14ac:dyDescent="0.25">
      <c r="A17" s="222"/>
      <c r="B17" s="27" t="s">
        <v>25</v>
      </c>
      <c r="C17" s="112">
        <f t="shared" si="3"/>
        <v>11.172500000000001</v>
      </c>
      <c r="D17" s="113">
        <f t="shared" si="4"/>
        <v>17.6798</v>
      </c>
      <c r="E17" s="113">
        <f t="shared" si="5"/>
        <v>36.079000000000008</v>
      </c>
      <c r="F17" s="114">
        <f t="shared" si="6"/>
        <v>41.790600000000005</v>
      </c>
      <c r="G17" s="108"/>
      <c r="H17" s="115">
        <f t="shared" si="7"/>
        <v>16.480800000000002</v>
      </c>
      <c r="I17" s="116">
        <f t="shared" si="8"/>
        <v>25.277100000000004</v>
      </c>
      <c r="J17" s="116">
        <f t="shared" si="9"/>
        <v>41.332800000000006</v>
      </c>
      <c r="K17" s="117">
        <f t="shared" si="10"/>
        <v>46.205100000000002</v>
      </c>
      <c r="L17" s="8"/>
      <c r="M17" s="12">
        <f t="shared" si="11"/>
        <v>14.555860000000003</v>
      </c>
      <c r="N17" s="13">
        <f t="shared" si="12"/>
        <v>23.020800000000001</v>
      </c>
      <c r="O17" s="13">
        <f t="shared" si="13"/>
        <v>46.988810000000008</v>
      </c>
      <c r="P17" s="14">
        <f t="shared" si="14"/>
        <v>54.422610000000006</v>
      </c>
      <c r="Q17" s="8"/>
      <c r="R17" s="15">
        <f t="shared" si="15"/>
        <v>21.462100000000003</v>
      </c>
      <c r="S17" s="16">
        <f t="shared" si="16"/>
        <v>32.924540000000007</v>
      </c>
      <c r="T17" s="16">
        <f t="shared" si="17"/>
        <v>53.835100000000004</v>
      </c>
      <c r="U17" s="17">
        <f t="shared" si="18"/>
        <v>60.177810000000008</v>
      </c>
      <c r="W17" s="12" t="str">
        <f t="shared" si="19"/>
        <v>N/A</v>
      </c>
      <c r="X17" s="13" t="str">
        <f t="shared" si="20"/>
        <v>N/A</v>
      </c>
      <c r="Y17" s="13" t="str">
        <f t="shared" si="21"/>
        <v>N/A</v>
      </c>
      <c r="Z17" s="14" t="str">
        <f t="shared" si="22"/>
        <v>N/A</v>
      </c>
      <c r="AA17" s="8"/>
      <c r="AB17" s="15" t="str">
        <f t="shared" si="23"/>
        <v>N/A</v>
      </c>
      <c r="AC17" s="16" t="str">
        <f t="shared" si="24"/>
        <v>N/A</v>
      </c>
      <c r="AD17" s="16" t="str">
        <f t="shared" si="25"/>
        <v>N/A</v>
      </c>
      <c r="AE17" s="17" t="str">
        <f t="shared" si="26"/>
        <v>N/A</v>
      </c>
      <c r="AF17" s="88"/>
      <c r="AG17" s="12">
        <f t="shared" si="27"/>
        <v>26.8</v>
      </c>
      <c r="AH17" s="13">
        <f t="shared" si="27"/>
        <v>42.4</v>
      </c>
      <c r="AI17" s="13">
        <f t="shared" si="27"/>
        <v>86.5</v>
      </c>
      <c r="AJ17" s="114">
        <f t="shared" si="27"/>
        <v>100.2</v>
      </c>
      <c r="AK17" s="108"/>
      <c r="AL17" s="115">
        <f t="shared" si="28"/>
        <v>39.4</v>
      </c>
      <c r="AM17" s="16">
        <f t="shared" si="28"/>
        <v>60.6</v>
      </c>
      <c r="AN17" s="16">
        <f t="shared" si="28"/>
        <v>99.1</v>
      </c>
      <c r="AO17" s="17">
        <f t="shared" si="28"/>
        <v>110.8</v>
      </c>
      <c r="AP17" s="88"/>
      <c r="AS17" s="32"/>
      <c r="AT17" s="56"/>
      <c r="AU17" s="56"/>
      <c r="AV17" s="56"/>
      <c r="AW17" s="56"/>
      <c r="AX17" s="56"/>
      <c r="AY17" s="56"/>
      <c r="AZ17" s="56"/>
    </row>
    <row r="18" spans="1:52" ht="14.45" customHeight="1" x14ac:dyDescent="0.25">
      <c r="A18" s="222"/>
      <c r="B18" s="27" t="s">
        <v>26</v>
      </c>
      <c r="C18" s="112">
        <f t="shared" si="3"/>
        <v>12.197100000000001</v>
      </c>
      <c r="D18" s="113">
        <f t="shared" si="4"/>
        <v>22.988100000000003</v>
      </c>
      <c r="E18" s="113">
        <f t="shared" si="5"/>
        <v>44.01420000000001</v>
      </c>
      <c r="F18" s="114">
        <f t="shared" si="6"/>
        <v>51.796800000000005</v>
      </c>
      <c r="G18" s="108"/>
      <c r="H18" s="115">
        <f t="shared" si="7"/>
        <v>18.017700000000001</v>
      </c>
      <c r="I18" s="116">
        <f t="shared" si="8"/>
        <v>31.937000000000005</v>
      </c>
      <c r="J18" s="116">
        <f t="shared" si="9"/>
        <v>50.445200000000007</v>
      </c>
      <c r="K18" s="117">
        <f t="shared" si="10"/>
        <v>59.219700000000003</v>
      </c>
      <c r="L18" s="8"/>
      <c r="M18" s="12">
        <f t="shared" si="11"/>
        <v>15.886750000000003</v>
      </c>
      <c r="N18" s="13">
        <f t="shared" si="12"/>
        <v>29.939030000000006</v>
      </c>
      <c r="O18" s="13">
        <f t="shared" si="13"/>
        <v>57.324190000000016</v>
      </c>
      <c r="P18" s="14">
        <f t="shared" si="14"/>
        <v>67.455740000000006</v>
      </c>
      <c r="Q18" s="8"/>
      <c r="R18" s="15">
        <f t="shared" si="15"/>
        <v>23.464430000000004</v>
      </c>
      <c r="S18" s="16">
        <f t="shared" si="16"/>
        <v>41.593310000000002</v>
      </c>
      <c r="T18" s="16">
        <f t="shared" si="17"/>
        <v>65.705200000000005</v>
      </c>
      <c r="U18" s="17">
        <f t="shared" si="18"/>
        <v>77.131670000000014</v>
      </c>
      <c r="W18" s="12" t="str">
        <f t="shared" si="19"/>
        <v>N/A</v>
      </c>
      <c r="X18" s="13" t="str">
        <f t="shared" si="20"/>
        <v>N/A</v>
      </c>
      <c r="Y18" s="13" t="str">
        <f t="shared" si="21"/>
        <v>N/A</v>
      </c>
      <c r="Z18" s="14" t="str">
        <f t="shared" si="22"/>
        <v>N/A</v>
      </c>
      <c r="AA18" s="8"/>
      <c r="AB18" s="15" t="str">
        <f t="shared" si="23"/>
        <v>N/A</v>
      </c>
      <c r="AC18" s="16" t="str">
        <f t="shared" si="24"/>
        <v>N/A</v>
      </c>
      <c r="AD18" s="16" t="str">
        <f t="shared" si="25"/>
        <v>N/A</v>
      </c>
      <c r="AE18" s="17" t="str">
        <f t="shared" si="26"/>
        <v>N/A</v>
      </c>
      <c r="AF18" s="88"/>
      <c r="AG18" s="12">
        <f t="shared" si="27"/>
        <v>29.2</v>
      </c>
      <c r="AH18" s="13">
        <f t="shared" si="27"/>
        <v>55.1</v>
      </c>
      <c r="AI18" s="13">
        <f t="shared" si="27"/>
        <v>105.6</v>
      </c>
      <c r="AJ18" s="114">
        <f t="shared" si="27"/>
        <v>124.2</v>
      </c>
      <c r="AK18" s="108"/>
      <c r="AL18" s="115">
        <f t="shared" si="28"/>
        <v>43.1</v>
      </c>
      <c r="AM18" s="16">
        <f t="shared" si="28"/>
        <v>76.599999999999994</v>
      </c>
      <c r="AN18" s="16">
        <f t="shared" si="28"/>
        <v>120.9</v>
      </c>
      <c r="AO18" s="17">
        <f t="shared" si="28"/>
        <v>142</v>
      </c>
      <c r="AP18" s="88"/>
      <c r="AS18" s="32"/>
    </row>
    <row r="19" spans="1:52" ht="14.45" customHeight="1" x14ac:dyDescent="0.25">
      <c r="A19" s="222"/>
      <c r="B19" s="27" t="s">
        <v>27</v>
      </c>
      <c r="C19" s="112">
        <f t="shared" si="3"/>
        <v>12.218900000000001</v>
      </c>
      <c r="D19" s="113">
        <f t="shared" si="4"/>
        <v>26.923000000000002</v>
      </c>
      <c r="E19" s="113">
        <f t="shared" si="5"/>
        <v>49.169900000000005</v>
      </c>
      <c r="F19" s="114">
        <f t="shared" si="6"/>
        <v>56.887100000000004</v>
      </c>
      <c r="G19" s="108"/>
      <c r="H19" s="115">
        <f t="shared" si="7"/>
        <v>18.028600000000001</v>
      </c>
      <c r="I19" s="116">
        <f t="shared" si="8"/>
        <v>37.223500000000001</v>
      </c>
      <c r="J19" s="116">
        <f t="shared" si="9"/>
        <v>55.448300000000003</v>
      </c>
      <c r="K19" s="117">
        <f t="shared" si="10"/>
        <v>63.895800000000001</v>
      </c>
      <c r="L19" s="8"/>
      <c r="M19" s="12">
        <f t="shared" si="11"/>
        <v>15.910730000000003</v>
      </c>
      <c r="N19" s="13">
        <f t="shared" si="12"/>
        <v>35.058760000000007</v>
      </c>
      <c r="O19" s="13">
        <f t="shared" si="13"/>
        <v>64.038589999999999</v>
      </c>
      <c r="P19" s="14">
        <f t="shared" si="14"/>
        <v>74.086210000000008</v>
      </c>
      <c r="Q19" s="8"/>
      <c r="R19" s="15">
        <f t="shared" si="15"/>
        <v>23.476420000000001</v>
      </c>
      <c r="S19" s="16">
        <f t="shared" si="16"/>
        <v>48.475570000000012</v>
      </c>
      <c r="T19" s="16">
        <f t="shared" si="17"/>
        <v>72.215770000000006</v>
      </c>
      <c r="U19" s="17">
        <f t="shared" si="18"/>
        <v>83.222590000000011</v>
      </c>
      <c r="W19" s="12" t="str">
        <f t="shared" si="19"/>
        <v>N/A</v>
      </c>
      <c r="X19" s="13" t="str">
        <f t="shared" si="20"/>
        <v>N/A</v>
      </c>
      <c r="Y19" s="13" t="str">
        <f t="shared" si="21"/>
        <v>N/A</v>
      </c>
      <c r="Z19" s="14" t="str">
        <f t="shared" si="22"/>
        <v>N/A</v>
      </c>
      <c r="AA19" s="8"/>
      <c r="AB19" s="15" t="str">
        <f t="shared" si="23"/>
        <v>N/A</v>
      </c>
      <c r="AC19" s="16" t="str">
        <f t="shared" si="24"/>
        <v>N/A</v>
      </c>
      <c r="AD19" s="16" t="str">
        <f t="shared" si="25"/>
        <v>N/A</v>
      </c>
      <c r="AE19" s="17" t="str">
        <f t="shared" si="26"/>
        <v>N/A</v>
      </c>
      <c r="AF19" s="88"/>
      <c r="AG19" s="112">
        <f t="shared" si="27"/>
        <v>29.3</v>
      </c>
      <c r="AH19" s="13">
        <f t="shared" si="27"/>
        <v>64.5</v>
      </c>
      <c r="AI19" s="13">
        <f t="shared" si="27"/>
        <v>117.9</v>
      </c>
      <c r="AJ19" s="114">
        <f t="shared" si="27"/>
        <v>136.4</v>
      </c>
      <c r="AK19" s="108"/>
      <c r="AL19" s="115">
        <f t="shared" si="28"/>
        <v>43.1</v>
      </c>
      <c r="AM19" s="16">
        <f t="shared" si="28"/>
        <v>89.2</v>
      </c>
      <c r="AN19" s="16">
        <f t="shared" si="28"/>
        <v>132.9</v>
      </c>
      <c r="AO19" s="17">
        <f t="shared" si="28"/>
        <v>153.19999999999999</v>
      </c>
      <c r="AP19" s="88"/>
      <c r="AS19" s="32"/>
      <c r="AT19" s="59"/>
      <c r="AU19" s="59"/>
      <c r="AV19" s="59"/>
      <c r="AW19" s="59"/>
      <c r="AX19" s="59"/>
      <c r="AY19" s="59"/>
      <c r="AZ19" s="59"/>
    </row>
    <row r="20" spans="1:52" ht="14.45" customHeight="1" thickBot="1" x14ac:dyDescent="0.3">
      <c r="A20" s="223"/>
      <c r="B20" s="27" t="s">
        <v>29</v>
      </c>
      <c r="C20" s="112" t="str">
        <f t="shared" si="3"/>
        <v>N/A</v>
      </c>
      <c r="D20" s="113">
        <f t="shared" si="4"/>
        <v>3.4335</v>
      </c>
      <c r="E20" s="113">
        <f t="shared" si="5"/>
        <v>6.6272000000000002</v>
      </c>
      <c r="F20" s="114">
        <f t="shared" si="6"/>
        <v>8.9380000000000006</v>
      </c>
      <c r="G20" s="108"/>
      <c r="H20" s="115" t="str">
        <f t="shared" si="7"/>
        <v>N/A</v>
      </c>
      <c r="I20" s="116">
        <f t="shared" si="8"/>
        <v>4.6652000000000005</v>
      </c>
      <c r="J20" s="116">
        <f t="shared" si="9"/>
        <v>7.2485000000000008</v>
      </c>
      <c r="K20" s="117">
        <f t="shared" si="10"/>
        <v>9.6792000000000016</v>
      </c>
      <c r="L20" s="8"/>
      <c r="M20" s="12" t="str">
        <f t="shared" si="11"/>
        <v>N/A</v>
      </c>
      <c r="N20" s="13">
        <f t="shared" si="12"/>
        <v>4.4722700000000009</v>
      </c>
      <c r="O20" s="13">
        <f t="shared" si="13"/>
        <v>8.6328000000000014</v>
      </c>
      <c r="P20" s="14">
        <f t="shared" si="14"/>
        <v>11.642290000000003</v>
      </c>
      <c r="Q20" s="8"/>
      <c r="R20" s="15" t="str">
        <f t="shared" si="15"/>
        <v>N/A</v>
      </c>
      <c r="S20" s="16">
        <f t="shared" si="16"/>
        <v>6.0789300000000015</v>
      </c>
      <c r="T20" s="16">
        <f t="shared" si="17"/>
        <v>9.4361300000000004</v>
      </c>
      <c r="U20" s="17">
        <f t="shared" si="18"/>
        <v>12.60149</v>
      </c>
      <c r="W20" s="12" t="str">
        <f t="shared" si="19"/>
        <v>N/A</v>
      </c>
      <c r="X20" s="13" t="str">
        <f t="shared" si="20"/>
        <v>N/A</v>
      </c>
      <c r="Y20" s="13" t="str">
        <f t="shared" si="21"/>
        <v>N/A</v>
      </c>
      <c r="Z20" s="14" t="str">
        <f t="shared" si="22"/>
        <v>N/A</v>
      </c>
      <c r="AA20" s="8"/>
      <c r="AB20" s="15" t="str">
        <f t="shared" si="23"/>
        <v>N/A</v>
      </c>
      <c r="AC20" s="16" t="str">
        <f t="shared" si="24"/>
        <v>N/A</v>
      </c>
      <c r="AD20" s="16" t="str">
        <f t="shared" si="25"/>
        <v>N/A</v>
      </c>
      <c r="AE20" s="17" t="str">
        <f t="shared" si="26"/>
        <v>N/A</v>
      </c>
      <c r="AF20" s="88"/>
      <c r="AG20" s="112" t="s">
        <v>118</v>
      </c>
      <c r="AH20" s="13">
        <f>ROUNDDOWN(AH12*$C$14,1)</f>
        <v>8.1</v>
      </c>
      <c r="AI20" s="13">
        <f>ROUNDDOWN(AI12*$C$14,1)</f>
        <v>15.8</v>
      </c>
      <c r="AJ20" s="114">
        <f>ROUNDDOWN(AJ12*$C$14,1)</f>
        <v>21.3</v>
      </c>
      <c r="AK20" s="108"/>
      <c r="AL20" s="115" t="s">
        <v>118</v>
      </c>
      <c r="AM20" s="16">
        <f>ROUNDDOWN(AM12*$C$14,1)</f>
        <v>11.1</v>
      </c>
      <c r="AN20" s="16">
        <f>ROUNDDOWN(AN12*$C$14,1)</f>
        <v>17.3</v>
      </c>
      <c r="AO20" s="17">
        <f>ROUNDDOWN(AO12*$C$14,1)</f>
        <v>23.2</v>
      </c>
      <c r="AP20" s="88"/>
      <c r="AS20" s="32"/>
      <c r="AT20" s="59"/>
      <c r="AU20" s="59"/>
      <c r="AV20" s="59"/>
      <c r="AW20" s="59"/>
      <c r="AX20" s="59"/>
      <c r="AY20" s="59"/>
      <c r="AZ20" s="59"/>
    </row>
    <row r="21" spans="1:52" ht="5.0999999999999996" customHeight="1" thickBot="1" x14ac:dyDescent="0.3"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W21" s="8"/>
      <c r="X21" s="8"/>
      <c r="Y21" s="8"/>
      <c r="Z21" s="8"/>
      <c r="AA21" s="8"/>
      <c r="AB21" s="8"/>
      <c r="AC21" s="8"/>
      <c r="AD21" s="8"/>
      <c r="AE21" s="8"/>
      <c r="AF21" s="89"/>
      <c r="AG21" s="108"/>
      <c r="AH21" s="108"/>
      <c r="AI21" s="108"/>
      <c r="AJ21" s="108"/>
      <c r="AK21" s="108"/>
      <c r="AL21" s="108"/>
      <c r="AM21" s="108"/>
      <c r="AN21" s="108"/>
      <c r="AO21" s="108"/>
      <c r="AP21" s="89"/>
    </row>
    <row r="22" spans="1:52" ht="15.75" thickBot="1" x14ac:dyDescent="0.3">
      <c r="B22" s="28" t="s">
        <v>119</v>
      </c>
      <c r="C22" s="31">
        <v>2.38</v>
      </c>
      <c r="D22" s="28"/>
      <c r="E22" s="28"/>
      <c r="F22" s="28"/>
      <c r="G22" s="28"/>
      <c r="H22" s="31">
        <v>2.38</v>
      </c>
      <c r="I22" s="28"/>
      <c r="J22" s="28"/>
      <c r="K22" s="28"/>
      <c r="L22" s="28"/>
      <c r="M22" s="31">
        <v>2.38</v>
      </c>
      <c r="N22" s="28"/>
      <c r="O22" s="28"/>
      <c r="P22" s="28"/>
      <c r="Q22" s="28"/>
      <c r="R22" s="31">
        <v>2.38</v>
      </c>
      <c r="T22" s="8"/>
      <c r="U22" s="8"/>
      <c r="W22" s="31">
        <v>2.1800000000000002</v>
      </c>
      <c r="X22" s="28"/>
      <c r="Y22" s="28"/>
      <c r="Z22" s="28"/>
      <c r="AA22" s="28"/>
      <c r="AB22" s="31">
        <v>2.1800000000000002</v>
      </c>
      <c r="AD22" s="8"/>
      <c r="AE22" s="8"/>
      <c r="AF22" s="89"/>
      <c r="AG22" s="108"/>
      <c r="AH22" s="108"/>
      <c r="AI22" s="108"/>
      <c r="AJ22" s="108"/>
      <c r="AN22" s="108"/>
      <c r="AO22" s="108"/>
      <c r="AP22" s="89"/>
    </row>
    <row r="23" spans="1:52" ht="14.45" customHeight="1" x14ac:dyDescent="0.25">
      <c r="A23" s="221" t="s">
        <v>121</v>
      </c>
      <c r="B23" s="26" t="s">
        <v>23</v>
      </c>
      <c r="C23" s="105">
        <f t="shared" ref="C23:C28" si="29">IFERROR(C7*C$22,"N/A")</f>
        <v>21.372399999999999</v>
      </c>
      <c r="D23" s="106">
        <f t="shared" ref="D23:D28" si="30">IFERROR(D7*C$22,"N/A")</f>
        <v>26.346599999999999</v>
      </c>
      <c r="E23" s="106">
        <f t="shared" ref="E23:E28" si="31">IFERROR(E7*C$22,"N/A")</f>
        <v>55.215999999999994</v>
      </c>
      <c r="F23" s="107">
        <f t="shared" ref="F23:F28" si="32">IFERROR(F7*C$22,"N/A")</f>
        <v>62.784399999999998</v>
      </c>
      <c r="G23" s="108"/>
      <c r="H23" s="109">
        <f t="shared" ref="H23:H28" si="33">IFERROR(H7*H$22,"N/A")</f>
        <v>31.3446</v>
      </c>
      <c r="I23" s="110">
        <f t="shared" ref="I23:I28" si="34">IFERROR(I7*H$22,"N/A")</f>
        <v>41.768999999999998</v>
      </c>
      <c r="J23" s="110">
        <f t="shared" ref="J23:J28" si="35">IFERROR(J7*H$22,"N/A")</f>
        <v>67.282600000000002</v>
      </c>
      <c r="K23" s="111">
        <f t="shared" ref="K23:K28" si="36">IFERROR(K7*H$22,"N/A")</f>
        <v>73.82759999999999</v>
      </c>
      <c r="L23" s="8"/>
      <c r="M23" s="5">
        <f t="shared" ref="M23:M28" si="37">IFERROR(M7*M$22,"N/A")</f>
        <v>27.829340000000002</v>
      </c>
      <c r="N23" s="6">
        <f t="shared" ref="N23:N28" si="38">IFERROR(N7*M$22,"N/A")</f>
        <v>34.321980000000003</v>
      </c>
      <c r="O23" s="6">
        <f t="shared" ref="O23:O28" si="39">IFERROR(O7*M$22,"N/A")</f>
        <v>71.916460000000001</v>
      </c>
      <c r="P23" s="7">
        <f t="shared" ref="P23:P28" si="40">IFERROR(P7*M$22,"N/A")</f>
        <v>81.760140000000007</v>
      </c>
      <c r="Q23" s="8"/>
      <c r="R23" s="9">
        <f t="shared" ref="R23:R28" si="41">IFERROR(R7*R$22,"N/A")</f>
        <v>40.814619999999998</v>
      </c>
      <c r="S23" s="10">
        <f t="shared" ref="S23:S28" si="42">IFERROR(S7*R$22,"N/A")</f>
        <v>54.402040000000007</v>
      </c>
      <c r="T23" s="10">
        <f t="shared" ref="T23:T28" si="43">IFERROR(T7*R$22,"N/A")</f>
        <v>87.624459999999999</v>
      </c>
      <c r="U23" s="11">
        <f t="shared" ref="U23:U28" si="44">IFERROR(U7*R$22,"N/A")</f>
        <v>96.159139999999994</v>
      </c>
      <c r="W23" s="5" t="str">
        <f t="shared" ref="W23:W28" si="45">IFERROR(W7*W$22,"N/A")</f>
        <v>N/A</v>
      </c>
      <c r="X23" s="6" t="str">
        <f t="shared" ref="X23:X28" si="46">IFERROR(X7*W$22,"N/A")</f>
        <v>N/A</v>
      </c>
      <c r="Y23" s="6" t="str">
        <f t="shared" ref="Y23:Y28" si="47">IFERROR(Y7*W$22,"N/A")</f>
        <v>N/A</v>
      </c>
      <c r="Z23" s="7" t="str">
        <f t="shared" ref="Z23:Z28" si="48">IFERROR(Z7*W$22,"N/A")</f>
        <v>N/A</v>
      </c>
      <c r="AA23" s="8"/>
      <c r="AB23" s="9" t="str">
        <f t="shared" ref="AB23:AB28" si="49">IFERROR(AB7*AB$22,"N/A")</f>
        <v>N/A</v>
      </c>
      <c r="AC23" s="10" t="str">
        <f t="shared" ref="AC23:AC28" si="50">IFERROR(AC7*AB$22,"N/A")</f>
        <v>N/A</v>
      </c>
      <c r="AD23" s="10" t="str">
        <f t="shared" ref="AD23:AD28" si="51">IFERROR(AD7*AB$22,"N/A")</f>
        <v>N/A</v>
      </c>
      <c r="AE23" s="11" t="str">
        <f t="shared" ref="AE23:AE28" si="52">IFERROR(AE7*AB$22,"N/A")</f>
        <v>N/A</v>
      </c>
      <c r="AF23" s="88"/>
      <c r="AG23" s="5">
        <f t="shared" ref="AG23:AJ27" si="53">ROUNDDOWN(AG7*$C$22,1)</f>
        <v>51.1</v>
      </c>
      <c r="AH23" s="6">
        <f t="shared" si="53"/>
        <v>63</v>
      </c>
      <c r="AI23" s="6">
        <f t="shared" si="53"/>
        <v>132.30000000000001</v>
      </c>
      <c r="AJ23" s="107">
        <f t="shared" si="53"/>
        <v>150.6</v>
      </c>
      <c r="AK23" s="108"/>
      <c r="AL23" s="109">
        <f t="shared" ref="AL23:AO27" si="54">ROUNDDOWN(AL7*$C$22,1)</f>
        <v>75.2</v>
      </c>
      <c r="AM23" s="10">
        <f t="shared" si="54"/>
        <v>100.1</v>
      </c>
      <c r="AN23" s="10">
        <f t="shared" si="54"/>
        <v>161.30000000000001</v>
      </c>
      <c r="AO23" s="11">
        <f t="shared" si="54"/>
        <v>177</v>
      </c>
      <c r="AP23" s="88"/>
    </row>
    <row r="24" spans="1:52" ht="14.45" customHeight="1" x14ac:dyDescent="0.25">
      <c r="A24" s="222"/>
      <c r="B24" s="27" t="s">
        <v>24</v>
      </c>
      <c r="C24" s="112">
        <f t="shared" si="29"/>
        <v>22.348200000000002</v>
      </c>
      <c r="D24" s="113">
        <f t="shared" si="30"/>
        <v>33.200999999999993</v>
      </c>
      <c r="E24" s="113">
        <f t="shared" si="31"/>
        <v>65.473799999999997</v>
      </c>
      <c r="F24" s="114">
        <f t="shared" si="32"/>
        <v>74.922399999999996</v>
      </c>
      <c r="G24" s="108"/>
      <c r="H24" s="115">
        <f t="shared" si="33"/>
        <v>32.8202</v>
      </c>
      <c r="I24" s="116">
        <f t="shared" si="34"/>
        <v>49.480199999999996</v>
      </c>
      <c r="J24" s="116">
        <f t="shared" si="35"/>
        <v>74.351199999999992</v>
      </c>
      <c r="K24" s="117">
        <f t="shared" si="36"/>
        <v>87.7744</v>
      </c>
      <c r="L24" s="8"/>
      <c r="M24" s="12">
        <f t="shared" si="37"/>
        <v>29.112159999999996</v>
      </c>
      <c r="N24" s="13">
        <f t="shared" si="38"/>
        <v>43.249360000000003</v>
      </c>
      <c r="O24" s="13">
        <f t="shared" si="39"/>
        <v>85.268260000000012</v>
      </c>
      <c r="P24" s="14">
        <f t="shared" si="40"/>
        <v>97.572860000000006</v>
      </c>
      <c r="Q24" s="8"/>
      <c r="R24" s="15">
        <f t="shared" si="41"/>
        <v>42.751939999999998</v>
      </c>
      <c r="S24" s="16">
        <f t="shared" si="42"/>
        <v>64.455160000000006</v>
      </c>
      <c r="T24" s="16">
        <f t="shared" si="43"/>
        <v>96.839820000000017</v>
      </c>
      <c r="U24" s="17">
        <f t="shared" si="44"/>
        <v>114.32806000000001</v>
      </c>
      <c r="W24" s="12" t="str">
        <f t="shared" si="45"/>
        <v>N/A</v>
      </c>
      <c r="X24" s="13" t="str">
        <f t="shared" si="46"/>
        <v>N/A</v>
      </c>
      <c r="Y24" s="13" t="str">
        <f t="shared" si="47"/>
        <v>N/A</v>
      </c>
      <c r="Z24" s="14" t="str">
        <f t="shared" si="48"/>
        <v>N/A</v>
      </c>
      <c r="AA24" s="8"/>
      <c r="AB24" s="15" t="str">
        <f t="shared" si="49"/>
        <v>N/A</v>
      </c>
      <c r="AC24" s="16" t="str">
        <f t="shared" si="50"/>
        <v>N/A</v>
      </c>
      <c r="AD24" s="16" t="str">
        <f t="shared" si="51"/>
        <v>N/A</v>
      </c>
      <c r="AE24" s="17" t="str">
        <f t="shared" si="52"/>
        <v>N/A</v>
      </c>
      <c r="AF24" s="88"/>
      <c r="AG24" s="12">
        <f t="shared" si="53"/>
        <v>53.5</v>
      </c>
      <c r="AH24" s="13">
        <f t="shared" si="53"/>
        <v>79.400000000000006</v>
      </c>
      <c r="AI24" s="13">
        <f t="shared" si="53"/>
        <v>157</v>
      </c>
      <c r="AJ24" s="114">
        <f t="shared" si="53"/>
        <v>179.6</v>
      </c>
      <c r="AK24" s="108"/>
      <c r="AL24" s="115">
        <f t="shared" si="54"/>
        <v>78.5</v>
      </c>
      <c r="AM24" s="16">
        <f t="shared" si="54"/>
        <v>118.5</v>
      </c>
      <c r="AN24" s="16">
        <f t="shared" si="54"/>
        <v>178.2</v>
      </c>
      <c r="AO24" s="17">
        <f t="shared" si="54"/>
        <v>210.6</v>
      </c>
      <c r="AP24" s="88"/>
    </row>
    <row r="25" spans="1:52" ht="14.45" customHeight="1" x14ac:dyDescent="0.25">
      <c r="A25" s="222"/>
      <c r="B25" s="27" t="s">
        <v>25</v>
      </c>
      <c r="C25" s="112">
        <f t="shared" si="29"/>
        <v>24.395</v>
      </c>
      <c r="D25" s="113">
        <f t="shared" si="30"/>
        <v>38.603599999999993</v>
      </c>
      <c r="E25" s="113">
        <f t="shared" si="31"/>
        <v>78.778000000000006</v>
      </c>
      <c r="F25" s="114">
        <f t="shared" si="32"/>
        <v>91.249200000000002</v>
      </c>
      <c r="G25" s="108"/>
      <c r="H25" s="115">
        <f t="shared" si="33"/>
        <v>35.985599999999998</v>
      </c>
      <c r="I25" s="116">
        <f t="shared" si="34"/>
        <v>55.1922</v>
      </c>
      <c r="J25" s="116">
        <f t="shared" si="35"/>
        <v>90.249600000000001</v>
      </c>
      <c r="K25" s="117">
        <f t="shared" si="36"/>
        <v>100.8882</v>
      </c>
      <c r="L25" s="8"/>
      <c r="M25" s="12">
        <f t="shared" si="37"/>
        <v>31.782520000000002</v>
      </c>
      <c r="N25" s="13">
        <f t="shared" si="38"/>
        <v>50.265599999999999</v>
      </c>
      <c r="O25" s="13">
        <f t="shared" si="39"/>
        <v>102.59941999999999</v>
      </c>
      <c r="P25" s="14">
        <f t="shared" si="40"/>
        <v>118.83102</v>
      </c>
      <c r="Q25" s="8"/>
      <c r="R25" s="15">
        <f t="shared" si="41"/>
        <v>46.862200000000001</v>
      </c>
      <c r="S25" s="16">
        <f t="shared" si="42"/>
        <v>71.890280000000004</v>
      </c>
      <c r="T25" s="16">
        <f t="shared" si="43"/>
        <v>117.54819999999999</v>
      </c>
      <c r="U25" s="17">
        <f t="shared" si="44"/>
        <v>131.39742000000001</v>
      </c>
      <c r="W25" s="12" t="str">
        <f t="shared" si="45"/>
        <v>N/A</v>
      </c>
      <c r="X25" s="13" t="str">
        <f t="shared" si="46"/>
        <v>N/A</v>
      </c>
      <c r="Y25" s="13" t="str">
        <f t="shared" si="47"/>
        <v>N/A</v>
      </c>
      <c r="Z25" s="14" t="str">
        <f t="shared" si="48"/>
        <v>N/A</v>
      </c>
      <c r="AA25" s="8"/>
      <c r="AB25" s="15" t="str">
        <f t="shared" si="49"/>
        <v>N/A</v>
      </c>
      <c r="AC25" s="16" t="str">
        <f t="shared" si="50"/>
        <v>N/A</v>
      </c>
      <c r="AD25" s="16" t="str">
        <f t="shared" si="51"/>
        <v>N/A</v>
      </c>
      <c r="AE25" s="17" t="str">
        <f t="shared" si="52"/>
        <v>N/A</v>
      </c>
      <c r="AF25" s="88"/>
      <c r="AG25" s="12">
        <f t="shared" si="53"/>
        <v>58.5</v>
      </c>
      <c r="AH25" s="13">
        <f t="shared" si="53"/>
        <v>92.5</v>
      </c>
      <c r="AI25" s="13">
        <f t="shared" si="53"/>
        <v>188.9</v>
      </c>
      <c r="AJ25" s="114">
        <f t="shared" si="53"/>
        <v>218.9</v>
      </c>
      <c r="AK25" s="108"/>
      <c r="AL25" s="115">
        <f t="shared" si="54"/>
        <v>86.1</v>
      </c>
      <c r="AM25" s="16">
        <f t="shared" si="54"/>
        <v>132.30000000000001</v>
      </c>
      <c r="AN25" s="16">
        <f t="shared" si="54"/>
        <v>216.5</v>
      </c>
      <c r="AO25" s="17">
        <f t="shared" si="54"/>
        <v>242</v>
      </c>
      <c r="AP25" s="88"/>
    </row>
    <row r="26" spans="1:52" ht="14.45" customHeight="1" x14ac:dyDescent="0.25">
      <c r="A26" s="222"/>
      <c r="B26" s="27" t="s">
        <v>26</v>
      </c>
      <c r="C26" s="112">
        <f t="shared" si="29"/>
        <v>26.632199999999997</v>
      </c>
      <c r="D26" s="113">
        <f t="shared" si="30"/>
        <v>50.194199999999995</v>
      </c>
      <c r="E26" s="113">
        <f t="shared" si="31"/>
        <v>96.104399999999998</v>
      </c>
      <c r="F26" s="114">
        <f t="shared" si="32"/>
        <v>113.0976</v>
      </c>
      <c r="G26" s="108"/>
      <c r="H26" s="115">
        <f t="shared" si="33"/>
        <v>39.3414</v>
      </c>
      <c r="I26" s="116">
        <f t="shared" si="34"/>
        <v>69.733999999999995</v>
      </c>
      <c r="J26" s="116">
        <f t="shared" si="35"/>
        <v>110.1464</v>
      </c>
      <c r="K26" s="117">
        <f t="shared" si="36"/>
        <v>129.30539999999999</v>
      </c>
      <c r="L26" s="8"/>
      <c r="M26" s="12">
        <f t="shared" si="37"/>
        <v>34.688499999999998</v>
      </c>
      <c r="N26" s="13">
        <f t="shared" si="38"/>
        <v>65.371459999999999</v>
      </c>
      <c r="O26" s="13">
        <f t="shared" si="39"/>
        <v>125.16658000000001</v>
      </c>
      <c r="P26" s="14">
        <f t="shared" si="40"/>
        <v>147.28868</v>
      </c>
      <c r="Q26" s="8"/>
      <c r="R26" s="15">
        <f t="shared" si="41"/>
        <v>51.234259999999999</v>
      </c>
      <c r="S26" s="16">
        <f t="shared" si="42"/>
        <v>90.818419999999989</v>
      </c>
      <c r="T26" s="16">
        <f t="shared" si="43"/>
        <v>143.46639999999999</v>
      </c>
      <c r="U26" s="17">
        <f t="shared" si="44"/>
        <v>168.41594000000001</v>
      </c>
      <c r="W26" s="12" t="str">
        <f t="shared" si="45"/>
        <v>N/A</v>
      </c>
      <c r="X26" s="13" t="str">
        <f t="shared" si="46"/>
        <v>N/A</v>
      </c>
      <c r="Y26" s="13" t="str">
        <f t="shared" si="47"/>
        <v>N/A</v>
      </c>
      <c r="Z26" s="14" t="str">
        <f t="shared" si="48"/>
        <v>N/A</v>
      </c>
      <c r="AA26" s="8"/>
      <c r="AB26" s="15" t="str">
        <f t="shared" si="49"/>
        <v>N/A</v>
      </c>
      <c r="AC26" s="16" t="str">
        <f t="shared" si="50"/>
        <v>N/A</v>
      </c>
      <c r="AD26" s="16" t="str">
        <f t="shared" si="51"/>
        <v>N/A</v>
      </c>
      <c r="AE26" s="17" t="str">
        <f t="shared" si="52"/>
        <v>N/A</v>
      </c>
      <c r="AF26" s="88"/>
      <c r="AG26" s="12">
        <f t="shared" si="53"/>
        <v>63.7</v>
      </c>
      <c r="AH26" s="13">
        <f t="shared" si="53"/>
        <v>120.4</v>
      </c>
      <c r="AI26" s="13">
        <f t="shared" si="53"/>
        <v>230.6</v>
      </c>
      <c r="AJ26" s="114">
        <f t="shared" si="53"/>
        <v>271.3</v>
      </c>
      <c r="AK26" s="108"/>
      <c r="AL26" s="115">
        <f t="shared" si="54"/>
        <v>94.2</v>
      </c>
      <c r="AM26" s="16">
        <f t="shared" si="54"/>
        <v>167.3</v>
      </c>
      <c r="AN26" s="16">
        <f t="shared" si="54"/>
        <v>264.10000000000002</v>
      </c>
      <c r="AO26" s="17">
        <f t="shared" si="54"/>
        <v>310.10000000000002</v>
      </c>
      <c r="AP26" s="88"/>
      <c r="AQ26" s="37"/>
      <c r="AR26" s="37"/>
    </row>
    <row r="27" spans="1:52" ht="14.45" customHeight="1" x14ac:dyDescent="0.25">
      <c r="A27" s="222"/>
      <c r="B27" s="27" t="s">
        <v>27</v>
      </c>
      <c r="C27" s="112">
        <f t="shared" si="29"/>
        <v>26.6798</v>
      </c>
      <c r="D27" s="113">
        <f t="shared" si="30"/>
        <v>58.785999999999994</v>
      </c>
      <c r="E27" s="113">
        <f t="shared" si="31"/>
        <v>107.36179999999999</v>
      </c>
      <c r="F27" s="114">
        <f t="shared" si="32"/>
        <v>124.2122</v>
      </c>
      <c r="G27" s="108"/>
      <c r="H27" s="115">
        <f t="shared" si="33"/>
        <v>39.365199999999994</v>
      </c>
      <c r="I27" s="116">
        <f t="shared" si="34"/>
        <v>81.276999999999987</v>
      </c>
      <c r="J27" s="116">
        <f t="shared" si="35"/>
        <v>121.07059999999998</v>
      </c>
      <c r="K27" s="117">
        <f t="shared" si="36"/>
        <v>139.51559999999998</v>
      </c>
      <c r="L27" s="8"/>
      <c r="M27" s="12">
        <f t="shared" si="37"/>
        <v>34.740860000000005</v>
      </c>
      <c r="N27" s="13">
        <f t="shared" si="38"/>
        <v>76.550319999999999</v>
      </c>
      <c r="O27" s="13">
        <f t="shared" si="39"/>
        <v>139.82737999999998</v>
      </c>
      <c r="P27" s="14">
        <f t="shared" si="40"/>
        <v>161.76622</v>
      </c>
      <c r="Q27" s="8"/>
      <c r="R27" s="15">
        <f t="shared" si="41"/>
        <v>51.260439999999996</v>
      </c>
      <c r="S27" s="16">
        <f t="shared" si="42"/>
        <v>105.84574000000001</v>
      </c>
      <c r="T27" s="16">
        <f t="shared" si="43"/>
        <v>157.68214</v>
      </c>
      <c r="U27" s="17">
        <f t="shared" si="44"/>
        <v>181.71537999999998</v>
      </c>
      <c r="W27" s="12" t="str">
        <f t="shared" si="45"/>
        <v>N/A</v>
      </c>
      <c r="X27" s="13" t="str">
        <f t="shared" si="46"/>
        <v>N/A</v>
      </c>
      <c r="Y27" s="13" t="str">
        <f t="shared" si="47"/>
        <v>N/A</v>
      </c>
      <c r="Z27" s="14" t="str">
        <f t="shared" si="48"/>
        <v>N/A</v>
      </c>
      <c r="AA27" s="8"/>
      <c r="AB27" s="15" t="str">
        <f t="shared" si="49"/>
        <v>N/A</v>
      </c>
      <c r="AC27" s="16" t="str">
        <f t="shared" si="50"/>
        <v>N/A</v>
      </c>
      <c r="AD27" s="16" t="str">
        <f t="shared" si="51"/>
        <v>N/A</v>
      </c>
      <c r="AE27" s="17" t="str">
        <f t="shared" si="52"/>
        <v>N/A</v>
      </c>
      <c r="AF27" s="88"/>
      <c r="AG27" s="112">
        <f t="shared" si="53"/>
        <v>64</v>
      </c>
      <c r="AH27" s="13">
        <f t="shared" si="53"/>
        <v>140.80000000000001</v>
      </c>
      <c r="AI27" s="13">
        <f t="shared" si="53"/>
        <v>257.5</v>
      </c>
      <c r="AJ27" s="114">
        <f t="shared" si="53"/>
        <v>297.89999999999998</v>
      </c>
      <c r="AK27" s="108"/>
      <c r="AL27" s="115">
        <f t="shared" si="54"/>
        <v>94.2</v>
      </c>
      <c r="AM27" s="16">
        <f t="shared" si="54"/>
        <v>194.9</v>
      </c>
      <c r="AN27" s="16">
        <f t="shared" si="54"/>
        <v>290.3</v>
      </c>
      <c r="AO27" s="17">
        <f t="shared" si="54"/>
        <v>334.6</v>
      </c>
      <c r="AP27" s="88"/>
    </row>
    <row r="28" spans="1:52" ht="14.45" customHeight="1" thickBot="1" x14ac:dyDescent="0.3">
      <c r="A28" s="223"/>
      <c r="B28" s="27" t="s">
        <v>29</v>
      </c>
      <c r="C28" s="112" t="str">
        <f t="shared" si="29"/>
        <v>N/A</v>
      </c>
      <c r="D28" s="113">
        <f t="shared" si="30"/>
        <v>7.4969999999999999</v>
      </c>
      <c r="E28" s="113">
        <f t="shared" si="31"/>
        <v>14.4704</v>
      </c>
      <c r="F28" s="114">
        <f t="shared" si="32"/>
        <v>19.515999999999998</v>
      </c>
      <c r="G28" s="108"/>
      <c r="H28" s="115" t="str">
        <f t="shared" si="33"/>
        <v>N/A</v>
      </c>
      <c r="I28" s="116">
        <f t="shared" si="34"/>
        <v>10.186400000000001</v>
      </c>
      <c r="J28" s="116">
        <f t="shared" si="35"/>
        <v>15.827</v>
      </c>
      <c r="K28" s="117">
        <f t="shared" si="36"/>
        <v>21.134399999999999</v>
      </c>
      <c r="L28" s="8"/>
      <c r="M28" s="12" t="str">
        <f t="shared" si="37"/>
        <v>N/A</v>
      </c>
      <c r="N28" s="13">
        <f t="shared" si="38"/>
        <v>9.7651400000000006</v>
      </c>
      <c r="O28" s="13">
        <f t="shared" si="39"/>
        <v>18.849600000000002</v>
      </c>
      <c r="P28" s="14">
        <f t="shared" si="40"/>
        <v>25.420780000000001</v>
      </c>
      <c r="Q28" s="8"/>
      <c r="R28" s="15" t="str">
        <f t="shared" si="41"/>
        <v>N/A</v>
      </c>
      <c r="S28" s="16">
        <f t="shared" si="42"/>
        <v>13.273260000000002</v>
      </c>
      <c r="T28" s="16">
        <f t="shared" si="43"/>
        <v>20.603659999999998</v>
      </c>
      <c r="U28" s="17">
        <f t="shared" si="44"/>
        <v>27.515179999999997</v>
      </c>
      <c r="W28" s="12" t="str">
        <f t="shared" si="45"/>
        <v>N/A</v>
      </c>
      <c r="X28" s="13" t="str">
        <f t="shared" si="46"/>
        <v>N/A</v>
      </c>
      <c r="Y28" s="13" t="str">
        <f t="shared" si="47"/>
        <v>N/A</v>
      </c>
      <c r="Z28" s="14" t="str">
        <f t="shared" si="48"/>
        <v>N/A</v>
      </c>
      <c r="AA28" s="8"/>
      <c r="AB28" s="15" t="str">
        <f t="shared" si="49"/>
        <v>N/A</v>
      </c>
      <c r="AC28" s="16" t="str">
        <f t="shared" si="50"/>
        <v>N/A</v>
      </c>
      <c r="AD28" s="16" t="str">
        <f t="shared" si="51"/>
        <v>N/A</v>
      </c>
      <c r="AE28" s="17" t="str">
        <f t="shared" si="52"/>
        <v>N/A</v>
      </c>
      <c r="AF28" s="88"/>
      <c r="AG28" s="112" t="s">
        <v>118</v>
      </c>
      <c r="AH28" s="13">
        <f>ROUNDDOWN(AH12*$C$22,1)</f>
        <v>17.8</v>
      </c>
      <c r="AI28" s="13">
        <f>ROUNDDOWN(AI12*$C$22,1)</f>
        <v>34.5</v>
      </c>
      <c r="AJ28" s="114">
        <f>ROUNDDOWN(AJ12*$C$22,1)</f>
        <v>46.6</v>
      </c>
      <c r="AK28" s="108"/>
      <c r="AL28" s="115" t="s">
        <v>118</v>
      </c>
      <c r="AM28" s="16">
        <f>ROUNDDOWN(AM12*$C$22,1)</f>
        <v>24.2</v>
      </c>
      <c r="AN28" s="16">
        <f>ROUNDDOWN(AN12*$C$22,1)</f>
        <v>37.799999999999997</v>
      </c>
      <c r="AO28" s="17">
        <f>ROUNDDOWN(AO12*$C$22,1)</f>
        <v>50.6</v>
      </c>
      <c r="AP28" s="88"/>
    </row>
    <row r="29" spans="1:52" ht="5.0999999999999996" customHeight="1" thickBot="1" x14ac:dyDescent="0.3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W29" s="8"/>
      <c r="X29" s="8"/>
      <c r="Y29" s="8"/>
      <c r="Z29" s="8"/>
      <c r="AA29" s="8"/>
      <c r="AB29" s="8"/>
      <c r="AC29" s="8"/>
      <c r="AD29" s="8"/>
      <c r="AE29" s="8"/>
      <c r="AF29" s="89"/>
      <c r="AG29" s="108"/>
      <c r="AH29" s="108"/>
      <c r="AI29" s="108"/>
      <c r="AJ29" s="108"/>
      <c r="AK29" s="108"/>
      <c r="AL29" s="108"/>
      <c r="AM29" s="108"/>
      <c r="AN29" s="108"/>
      <c r="AO29" s="108"/>
      <c r="AP29" s="89"/>
    </row>
    <row r="30" spans="1:52" ht="15.75" thickBot="1" x14ac:dyDescent="0.3">
      <c r="B30" s="28" t="s">
        <v>119</v>
      </c>
      <c r="C30" s="29">
        <v>4.3600000000000003</v>
      </c>
      <c r="D30" s="28"/>
      <c r="E30" s="28"/>
      <c r="F30" s="28"/>
      <c r="G30" s="28"/>
      <c r="H30" s="29">
        <v>4.3600000000000003</v>
      </c>
      <c r="I30" s="28"/>
      <c r="J30" s="28"/>
      <c r="K30" s="28"/>
      <c r="L30" s="28"/>
      <c r="M30" s="29">
        <v>4.3600000000000003</v>
      </c>
      <c r="N30" s="28"/>
      <c r="O30" s="28"/>
      <c r="P30" s="28"/>
      <c r="Q30" s="28"/>
      <c r="R30" s="29">
        <v>4.3600000000000003</v>
      </c>
      <c r="T30" s="8"/>
      <c r="U30" s="8"/>
      <c r="W30" s="29">
        <v>4.3600000000000003</v>
      </c>
      <c r="X30" s="28"/>
      <c r="Y30" s="28"/>
      <c r="Z30" s="28"/>
      <c r="AA30" s="28"/>
      <c r="AB30" s="29">
        <v>4.3600000000000003</v>
      </c>
      <c r="AD30" s="8"/>
      <c r="AE30" s="8"/>
      <c r="AF30" s="89"/>
      <c r="AG30" s="108"/>
      <c r="AH30" s="108"/>
      <c r="AI30" s="108"/>
      <c r="AJ30" s="108"/>
      <c r="AK30" s="108"/>
      <c r="AN30" s="108"/>
      <c r="AO30" s="108"/>
      <c r="AP30" s="89"/>
    </row>
    <row r="31" spans="1:52" ht="14.45" customHeight="1" x14ac:dyDescent="0.25">
      <c r="A31" s="221" t="s">
        <v>122</v>
      </c>
      <c r="B31" s="26" t="s">
        <v>23</v>
      </c>
      <c r="C31" s="105">
        <f t="shared" ref="C31:C36" si="55">IFERROR(C7*C$30,"N/A")</f>
        <v>39.152800000000006</v>
      </c>
      <c r="D31" s="106">
        <f t="shared" ref="D31:D36" si="56">IFERROR(D7*C$30,"N/A")</f>
        <v>48.265200000000007</v>
      </c>
      <c r="E31" s="106">
        <f t="shared" ref="E31:E36" si="57">IFERROR(E7*C$30,"N/A")</f>
        <v>101.152</v>
      </c>
      <c r="F31" s="107">
        <f t="shared" ref="F31:F36" si="58">IFERROR(F7*C$30,"N/A")</f>
        <v>115.0168</v>
      </c>
      <c r="G31" s="108"/>
      <c r="H31" s="109">
        <f t="shared" ref="H31:H36" si="59">IFERROR(H7*H$30,"N/A")</f>
        <v>57.421200000000006</v>
      </c>
      <c r="I31" s="110">
        <f t="shared" ref="I31:I36" si="60">IFERROR(I7*H$30,"N/A")</f>
        <v>76.518000000000015</v>
      </c>
      <c r="J31" s="110">
        <f t="shared" ref="J31:J36" si="61">IFERROR(J7*H$30,"N/A")</f>
        <v>123.25720000000001</v>
      </c>
      <c r="K31" s="111">
        <f t="shared" ref="K31:K36" si="62">IFERROR(K7*H$30,"N/A")</f>
        <v>135.24720000000002</v>
      </c>
      <c r="L31" s="8"/>
      <c r="M31" s="5">
        <f t="shared" ref="M31:M36" si="63">IFERROR(M7*M$30,"N/A")</f>
        <v>50.981480000000012</v>
      </c>
      <c r="N31" s="6">
        <f t="shared" ref="N31:N36" si="64">IFERROR(N7*M$30,"N/A")</f>
        <v>62.875560000000007</v>
      </c>
      <c r="O31" s="6">
        <f t="shared" ref="O31:O36" si="65">IFERROR(O7*M$30,"N/A")</f>
        <v>131.74612000000002</v>
      </c>
      <c r="P31" s="7">
        <f t="shared" ref="P31:P36" si="66">IFERROR(P7*M$30,"N/A")</f>
        <v>149.77908000000002</v>
      </c>
      <c r="Q31" s="8"/>
      <c r="R31" s="9">
        <f t="shared" ref="R31:R36" si="67">IFERROR(R7*R$30,"N/A")</f>
        <v>74.76964000000001</v>
      </c>
      <c r="S31" s="10">
        <f t="shared" ref="S31:S36" si="68">IFERROR(S7*R$30,"N/A")</f>
        <v>99.66088000000002</v>
      </c>
      <c r="T31" s="10">
        <f t="shared" ref="T31:T36" si="69">IFERROR(T7*R$30,"N/A")</f>
        <v>160.52212</v>
      </c>
      <c r="U31" s="11">
        <f t="shared" ref="U31:U36" si="70">IFERROR(U7*R$30,"N/A")</f>
        <v>176.15708000000001</v>
      </c>
      <c r="W31" s="5" t="str">
        <f t="shared" ref="W31:W36" si="71">IFERROR(W7*W$30,"N/A")</f>
        <v>N/A</v>
      </c>
      <c r="X31" s="6" t="str">
        <f t="shared" ref="X31:X36" si="72">IFERROR(X7*W$30,"N/A")</f>
        <v>N/A</v>
      </c>
      <c r="Y31" s="6" t="str">
        <f t="shared" ref="Y31:Y36" si="73">IFERROR(Y7*W$30,"N/A")</f>
        <v>N/A</v>
      </c>
      <c r="Z31" s="7" t="str">
        <f t="shared" ref="Z31:Z36" si="74">IFERROR(Z7*W$30,"N/A")</f>
        <v>N/A</v>
      </c>
      <c r="AA31" s="8"/>
      <c r="AB31" s="9" t="str">
        <f t="shared" ref="AB31:AB36" si="75">IFERROR(AB7*AB$30,"N/A")</f>
        <v>N/A</v>
      </c>
      <c r="AC31" s="10" t="str">
        <f t="shared" ref="AC31:AC36" si="76">IFERROR(AC7*AB$30,"N/A")</f>
        <v>N/A</v>
      </c>
      <c r="AD31" s="10" t="str">
        <f t="shared" ref="AD31:AD36" si="77">IFERROR(AD7*AB$30,"N/A")</f>
        <v>N/A</v>
      </c>
      <c r="AE31" s="11" t="str">
        <f t="shared" ref="AE31:AE36" si="78">IFERROR(AE7*AB$30,"N/A")</f>
        <v>N/A</v>
      </c>
      <c r="AF31" s="88"/>
      <c r="AG31" s="5">
        <f t="shared" ref="AG31:AJ35" si="79">ROUNDDOWN(AG7*$C$30,1)</f>
        <v>93.7</v>
      </c>
      <c r="AH31" s="6">
        <f t="shared" si="79"/>
        <v>115.5</v>
      </c>
      <c r="AI31" s="6">
        <f t="shared" si="79"/>
        <v>242.4</v>
      </c>
      <c r="AJ31" s="107">
        <f t="shared" si="79"/>
        <v>275.89999999999998</v>
      </c>
      <c r="AK31" s="108"/>
      <c r="AL31" s="109">
        <f t="shared" ref="AL31:AO35" si="80">ROUNDDOWN(AL7*$C$30,1)</f>
        <v>137.69999999999999</v>
      </c>
      <c r="AM31" s="10">
        <f t="shared" si="80"/>
        <v>183.5</v>
      </c>
      <c r="AN31" s="10">
        <f t="shared" si="80"/>
        <v>295.60000000000002</v>
      </c>
      <c r="AO31" s="11">
        <f t="shared" si="80"/>
        <v>324.3</v>
      </c>
      <c r="AP31" s="88"/>
    </row>
    <row r="32" spans="1:52" ht="14.45" customHeight="1" x14ac:dyDescent="0.25">
      <c r="A32" s="222"/>
      <c r="B32" s="27" t="s">
        <v>24</v>
      </c>
      <c r="C32" s="112">
        <f t="shared" si="55"/>
        <v>40.940400000000004</v>
      </c>
      <c r="D32" s="113">
        <f t="shared" si="56"/>
        <v>60.822000000000003</v>
      </c>
      <c r="E32" s="113">
        <f t="shared" si="57"/>
        <v>119.94360000000002</v>
      </c>
      <c r="F32" s="114">
        <f t="shared" si="58"/>
        <v>137.25280000000001</v>
      </c>
      <c r="G32" s="108"/>
      <c r="H32" s="115">
        <f t="shared" si="59"/>
        <v>60.124400000000001</v>
      </c>
      <c r="I32" s="116">
        <f t="shared" si="60"/>
        <v>90.644400000000005</v>
      </c>
      <c r="J32" s="116">
        <f t="shared" si="61"/>
        <v>136.2064</v>
      </c>
      <c r="K32" s="117">
        <f t="shared" si="62"/>
        <v>160.79680000000002</v>
      </c>
      <c r="L32" s="8"/>
      <c r="M32" s="12">
        <f t="shared" si="63"/>
        <v>53.331519999999998</v>
      </c>
      <c r="N32" s="13">
        <f t="shared" si="64"/>
        <v>79.229920000000007</v>
      </c>
      <c r="O32" s="13">
        <f t="shared" si="65"/>
        <v>156.20572000000004</v>
      </c>
      <c r="P32" s="14">
        <f t="shared" si="66"/>
        <v>178.74692000000005</v>
      </c>
      <c r="Q32" s="8"/>
      <c r="R32" s="15">
        <f t="shared" si="67"/>
        <v>78.318680000000015</v>
      </c>
      <c r="S32" s="16">
        <f t="shared" si="68"/>
        <v>118.07752000000002</v>
      </c>
      <c r="T32" s="16">
        <f t="shared" si="69"/>
        <v>177.40404000000004</v>
      </c>
      <c r="U32" s="17">
        <f t="shared" si="70"/>
        <v>209.44132000000005</v>
      </c>
      <c r="W32" s="12" t="str">
        <f t="shared" si="71"/>
        <v>N/A</v>
      </c>
      <c r="X32" s="13" t="str">
        <f t="shared" si="72"/>
        <v>N/A</v>
      </c>
      <c r="Y32" s="13" t="str">
        <f t="shared" si="73"/>
        <v>N/A</v>
      </c>
      <c r="Z32" s="14" t="str">
        <f t="shared" si="74"/>
        <v>N/A</v>
      </c>
      <c r="AA32" s="8"/>
      <c r="AB32" s="15" t="str">
        <f t="shared" si="75"/>
        <v>N/A</v>
      </c>
      <c r="AC32" s="16" t="str">
        <f t="shared" si="76"/>
        <v>N/A</v>
      </c>
      <c r="AD32" s="16" t="str">
        <f t="shared" si="77"/>
        <v>N/A</v>
      </c>
      <c r="AE32" s="17" t="str">
        <f t="shared" si="78"/>
        <v>N/A</v>
      </c>
      <c r="AF32" s="88"/>
      <c r="AG32" s="12">
        <f t="shared" si="79"/>
        <v>98.1</v>
      </c>
      <c r="AH32" s="13">
        <f t="shared" si="79"/>
        <v>145.6</v>
      </c>
      <c r="AI32" s="13">
        <f t="shared" si="79"/>
        <v>287.7</v>
      </c>
      <c r="AJ32" s="114">
        <f t="shared" si="79"/>
        <v>329.1</v>
      </c>
      <c r="AK32" s="108"/>
      <c r="AL32" s="115">
        <f t="shared" si="80"/>
        <v>143.80000000000001</v>
      </c>
      <c r="AM32" s="16">
        <f t="shared" si="80"/>
        <v>217.1</v>
      </c>
      <c r="AN32" s="16">
        <f t="shared" si="80"/>
        <v>326.5</v>
      </c>
      <c r="AO32" s="17">
        <f t="shared" si="80"/>
        <v>385.8</v>
      </c>
      <c r="AP32" s="88"/>
    </row>
    <row r="33" spans="1:42" ht="14.45" customHeight="1" x14ac:dyDescent="0.25">
      <c r="A33" s="222"/>
      <c r="B33" s="27" t="s">
        <v>25</v>
      </c>
      <c r="C33" s="112">
        <f t="shared" si="55"/>
        <v>44.690000000000005</v>
      </c>
      <c r="D33" s="113">
        <f t="shared" si="56"/>
        <v>70.719200000000001</v>
      </c>
      <c r="E33" s="113">
        <f t="shared" si="57"/>
        <v>144.31600000000003</v>
      </c>
      <c r="F33" s="114">
        <f t="shared" si="58"/>
        <v>167.16240000000002</v>
      </c>
      <c r="G33" s="108"/>
      <c r="H33" s="115">
        <f t="shared" si="59"/>
        <v>65.923200000000008</v>
      </c>
      <c r="I33" s="116">
        <f t="shared" si="60"/>
        <v>101.10840000000002</v>
      </c>
      <c r="J33" s="116">
        <f t="shared" si="61"/>
        <v>165.33120000000002</v>
      </c>
      <c r="K33" s="117">
        <f t="shared" si="62"/>
        <v>184.82040000000001</v>
      </c>
      <c r="L33" s="8"/>
      <c r="M33" s="12">
        <f t="shared" si="63"/>
        <v>58.223440000000011</v>
      </c>
      <c r="N33" s="13">
        <f t="shared" si="64"/>
        <v>92.083200000000005</v>
      </c>
      <c r="O33" s="13">
        <f t="shared" si="65"/>
        <v>187.95524000000003</v>
      </c>
      <c r="P33" s="14">
        <f t="shared" si="66"/>
        <v>217.69044000000002</v>
      </c>
      <c r="Q33" s="8"/>
      <c r="R33" s="15">
        <f t="shared" si="67"/>
        <v>85.848400000000012</v>
      </c>
      <c r="S33" s="16">
        <f t="shared" si="68"/>
        <v>131.69816000000003</v>
      </c>
      <c r="T33" s="16">
        <f t="shared" si="69"/>
        <v>215.34040000000002</v>
      </c>
      <c r="U33" s="17">
        <f t="shared" si="70"/>
        <v>240.71124000000003</v>
      </c>
      <c r="W33" s="12" t="str">
        <f t="shared" si="71"/>
        <v>N/A</v>
      </c>
      <c r="X33" s="13" t="str">
        <f t="shared" si="72"/>
        <v>N/A</v>
      </c>
      <c r="Y33" s="13" t="str">
        <f t="shared" si="73"/>
        <v>N/A</v>
      </c>
      <c r="Z33" s="14" t="str">
        <f t="shared" si="74"/>
        <v>N/A</v>
      </c>
      <c r="AA33" s="8"/>
      <c r="AB33" s="15" t="str">
        <f t="shared" si="75"/>
        <v>N/A</v>
      </c>
      <c r="AC33" s="16" t="str">
        <f t="shared" si="76"/>
        <v>N/A</v>
      </c>
      <c r="AD33" s="16" t="str">
        <f t="shared" si="77"/>
        <v>N/A</v>
      </c>
      <c r="AE33" s="17" t="str">
        <f t="shared" si="78"/>
        <v>N/A</v>
      </c>
      <c r="AF33" s="88"/>
      <c r="AG33" s="12">
        <f t="shared" si="79"/>
        <v>107.2</v>
      </c>
      <c r="AH33" s="13">
        <f t="shared" si="79"/>
        <v>169.6</v>
      </c>
      <c r="AI33" s="13">
        <f t="shared" si="79"/>
        <v>346.1</v>
      </c>
      <c r="AJ33" s="114">
        <f t="shared" si="79"/>
        <v>401.1</v>
      </c>
      <c r="AK33" s="108"/>
      <c r="AL33" s="115">
        <f t="shared" si="80"/>
        <v>157.80000000000001</v>
      </c>
      <c r="AM33" s="16">
        <f t="shared" si="80"/>
        <v>242.4</v>
      </c>
      <c r="AN33" s="16">
        <f t="shared" si="80"/>
        <v>396.7</v>
      </c>
      <c r="AO33" s="17">
        <f t="shared" si="80"/>
        <v>443.4</v>
      </c>
      <c r="AP33" s="88"/>
    </row>
    <row r="34" spans="1:42" ht="14.45" customHeight="1" x14ac:dyDescent="0.25">
      <c r="A34" s="222"/>
      <c r="B34" s="27" t="s">
        <v>26</v>
      </c>
      <c r="C34" s="112">
        <f t="shared" si="55"/>
        <v>48.788400000000003</v>
      </c>
      <c r="D34" s="113">
        <f t="shared" si="56"/>
        <v>91.952400000000011</v>
      </c>
      <c r="E34" s="113">
        <f t="shared" si="57"/>
        <v>176.05680000000004</v>
      </c>
      <c r="F34" s="114">
        <f t="shared" si="58"/>
        <v>207.18720000000002</v>
      </c>
      <c r="G34" s="108"/>
      <c r="H34" s="115">
        <f t="shared" si="59"/>
        <v>72.070800000000006</v>
      </c>
      <c r="I34" s="116">
        <f t="shared" si="60"/>
        <v>127.74800000000002</v>
      </c>
      <c r="J34" s="116">
        <f t="shared" si="61"/>
        <v>201.78080000000003</v>
      </c>
      <c r="K34" s="117">
        <f t="shared" si="62"/>
        <v>236.87880000000001</v>
      </c>
      <c r="L34" s="8"/>
      <c r="M34" s="12">
        <f t="shared" si="63"/>
        <v>63.547000000000011</v>
      </c>
      <c r="N34" s="13">
        <f t="shared" si="64"/>
        <v>119.75612000000002</v>
      </c>
      <c r="O34" s="13">
        <f t="shared" si="65"/>
        <v>229.29676000000006</v>
      </c>
      <c r="P34" s="14">
        <f t="shared" si="66"/>
        <v>269.82296000000002</v>
      </c>
      <c r="Q34" s="8"/>
      <c r="R34" s="15">
        <f t="shared" si="67"/>
        <v>93.857720000000015</v>
      </c>
      <c r="S34" s="16">
        <f t="shared" si="68"/>
        <v>166.37324000000001</v>
      </c>
      <c r="T34" s="16">
        <f t="shared" si="69"/>
        <v>262.82080000000002</v>
      </c>
      <c r="U34" s="17">
        <f t="shared" si="70"/>
        <v>308.52668000000006</v>
      </c>
      <c r="W34" s="12" t="str">
        <f t="shared" si="71"/>
        <v>N/A</v>
      </c>
      <c r="X34" s="13" t="str">
        <f t="shared" si="72"/>
        <v>N/A</v>
      </c>
      <c r="Y34" s="13" t="str">
        <f t="shared" si="73"/>
        <v>N/A</v>
      </c>
      <c r="Z34" s="14" t="str">
        <f t="shared" si="74"/>
        <v>N/A</v>
      </c>
      <c r="AA34" s="8"/>
      <c r="AB34" s="15" t="str">
        <f t="shared" si="75"/>
        <v>N/A</v>
      </c>
      <c r="AC34" s="16" t="str">
        <f t="shared" si="76"/>
        <v>N/A</v>
      </c>
      <c r="AD34" s="16" t="str">
        <f t="shared" si="77"/>
        <v>N/A</v>
      </c>
      <c r="AE34" s="17" t="str">
        <f t="shared" si="78"/>
        <v>N/A</v>
      </c>
      <c r="AF34" s="88"/>
      <c r="AG34" s="12">
        <f t="shared" si="79"/>
        <v>116.8</v>
      </c>
      <c r="AH34" s="13">
        <f t="shared" si="79"/>
        <v>220.6</v>
      </c>
      <c r="AI34" s="13">
        <f t="shared" si="79"/>
        <v>422.4</v>
      </c>
      <c r="AJ34" s="114">
        <f t="shared" si="79"/>
        <v>497</v>
      </c>
      <c r="AK34" s="108"/>
      <c r="AL34" s="115">
        <f t="shared" si="80"/>
        <v>172.6</v>
      </c>
      <c r="AM34" s="16">
        <f t="shared" si="80"/>
        <v>306.5</v>
      </c>
      <c r="AN34" s="16">
        <f t="shared" si="80"/>
        <v>483.9</v>
      </c>
      <c r="AO34" s="17">
        <f t="shared" si="80"/>
        <v>568.1</v>
      </c>
      <c r="AP34" s="88"/>
    </row>
    <row r="35" spans="1:42" ht="14.45" customHeight="1" x14ac:dyDescent="0.25">
      <c r="A35" s="222"/>
      <c r="B35" s="27" t="s">
        <v>27</v>
      </c>
      <c r="C35" s="112">
        <f t="shared" si="55"/>
        <v>48.875600000000006</v>
      </c>
      <c r="D35" s="113">
        <f t="shared" si="56"/>
        <v>107.69200000000001</v>
      </c>
      <c r="E35" s="113">
        <f t="shared" si="57"/>
        <v>196.67960000000002</v>
      </c>
      <c r="F35" s="114">
        <f t="shared" si="58"/>
        <v>227.54840000000002</v>
      </c>
      <c r="G35" s="108"/>
      <c r="H35" s="115">
        <f t="shared" si="59"/>
        <v>72.114400000000003</v>
      </c>
      <c r="I35" s="116">
        <f t="shared" si="60"/>
        <v>148.89400000000001</v>
      </c>
      <c r="J35" s="116">
        <f t="shared" si="61"/>
        <v>221.79320000000001</v>
      </c>
      <c r="K35" s="117">
        <f t="shared" si="62"/>
        <v>255.58320000000001</v>
      </c>
      <c r="L35" s="8"/>
      <c r="M35" s="12">
        <f t="shared" si="63"/>
        <v>63.642920000000011</v>
      </c>
      <c r="N35" s="13">
        <f t="shared" si="64"/>
        <v>140.23504000000003</v>
      </c>
      <c r="O35" s="13">
        <f t="shared" si="65"/>
        <v>256.15436</v>
      </c>
      <c r="P35" s="14">
        <f t="shared" si="66"/>
        <v>296.34484000000003</v>
      </c>
      <c r="Q35" s="8"/>
      <c r="R35" s="15">
        <f t="shared" si="67"/>
        <v>93.905680000000004</v>
      </c>
      <c r="S35" s="16">
        <f t="shared" si="68"/>
        <v>193.90228000000005</v>
      </c>
      <c r="T35" s="16">
        <f t="shared" si="69"/>
        <v>288.86308000000002</v>
      </c>
      <c r="U35" s="17">
        <f t="shared" si="70"/>
        <v>332.89036000000004</v>
      </c>
      <c r="W35" s="12" t="str">
        <f t="shared" si="71"/>
        <v>N/A</v>
      </c>
      <c r="X35" s="13" t="str">
        <f t="shared" si="72"/>
        <v>N/A</v>
      </c>
      <c r="Y35" s="13" t="str">
        <f t="shared" si="73"/>
        <v>N/A</v>
      </c>
      <c r="Z35" s="14" t="str">
        <f t="shared" si="74"/>
        <v>N/A</v>
      </c>
      <c r="AA35" s="8"/>
      <c r="AB35" s="15" t="str">
        <f t="shared" si="75"/>
        <v>N/A</v>
      </c>
      <c r="AC35" s="16" t="str">
        <f t="shared" si="76"/>
        <v>N/A</v>
      </c>
      <c r="AD35" s="16" t="str">
        <f t="shared" si="77"/>
        <v>N/A</v>
      </c>
      <c r="AE35" s="17" t="str">
        <f t="shared" si="78"/>
        <v>N/A</v>
      </c>
      <c r="AF35" s="88"/>
      <c r="AG35" s="112">
        <f t="shared" si="79"/>
        <v>117.2</v>
      </c>
      <c r="AH35" s="13">
        <f t="shared" si="79"/>
        <v>258.10000000000002</v>
      </c>
      <c r="AI35" s="13">
        <f t="shared" si="79"/>
        <v>471.7</v>
      </c>
      <c r="AJ35" s="114">
        <f t="shared" si="79"/>
        <v>545.79999999999995</v>
      </c>
      <c r="AK35" s="108"/>
      <c r="AL35" s="115">
        <f t="shared" si="80"/>
        <v>172.6</v>
      </c>
      <c r="AM35" s="16">
        <f t="shared" si="80"/>
        <v>357</v>
      </c>
      <c r="AN35" s="16">
        <f t="shared" si="80"/>
        <v>531.9</v>
      </c>
      <c r="AO35" s="17">
        <f t="shared" si="80"/>
        <v>613</v>
      </c>
      <c r="AP35" s="88"/>
    </row>
    <row r="36" spans="1:42" ht="14.45" customHeight="1" thickBot="1" x14ac:dyDescent="0.3">
      <c r="A36" s="223"/>
      <c r="B36" s="27" t="s">
        <v>29</v>
      </c>
      <c r="C36" s="112" t="str">
        <f t="shared" si="55"/>
        <v>N/A</v>
      </c>
      <c r="D36" s="113">
        <f t="shared" si="56"/>
        <v>13.734</v>
      </c>
      <c r="E36" s="113">
        <f t="shared" si="57"/>
        <v>26.508800000000001</v>
      </c>
      <c r="F36" s="114">
        <f t="shared" si="58"/>
        <v>35.752000000000002</v>
      </c>
      <c r="G36" s="108"/>
      <c r="H36" s="115" t="str">
        <f t="shared" si="59"/>
        <v>N/A</v>
      </c>
      <c r="I36" s="116">
        <f t="shared" si="60"/>
        <v>18.660800000000002</v>
      </c>
      <c r="J36" s="116">
        <f t="shared" si="61"/>
        <v>28.994000000000003</v>
      </c>
      <c r="K36" s="117">
        <f t="shared" si="62"/>
        <v>38.716800000000006</v>
      </c>
      <c r="L36" s="8"/>
      <c r="M36" s="12" t="str">
        <f t="shared" si="63"/>
        <v>N/A</v>
      </c>
      <c r="N36" s="13">
        <f t="shared" si="64"/>
        <v>17.889080000000003</v>
      </c>
      <c r="O36" s="13">
        <f t="shared" si="65"/>
        <v>34.531200000000005</v>
      </c>
      <c r="P36" s="14">
        <f t="shared" si="66"/>
        <v>46.569160000000011</v>
      </c>
      <c r="Q36" s="8"/>
      <c r="R36" s="15" t="str">
        <f t="shared" si="67"/>
        <v>N/A</v>
      </c>
      <c r="S36" s="16">
        <f t="shared" si="68"/>
        <v>24.315720000000006</v>
      </c>
      <c r="T36" s="16">
        <f t="shared" si="69"/>
        <v>37.744520000000001</v>
      </c>
      <c r="U36" s="17">
        <f t="shared" si="70"/>
        <v>50.40596</v>
      </c>
      <c r="W36" s="12" t="str">
        <f t="shared" si="71"/>
        <v>N/A</v>
      </c>
      <c r="X36" s="13" t="str">
        <f t="shared" si="72"/>
        <v>N/A</v>
      </c>
      <c r="Y36" s="13" t="str">
        <f t="shared" si="73"/>
        <v>N/A</v>
      </c>
      <c r="Z36" s="14" t="str">
        <f t="shared" si="74"/>
        <v>N/A</v>
      </c>
      <c r="AA36" s="8"/>
      <c r="AB36" s="15" t="str">
        <f t="shared" si="75"/>
        <v>N/A</v>
      </c>
      <c r="AC36" s="16" t="str">
        <f t="shared" si="76"/>
        <v>N/A</v>
      </c>
      <c r="AD36" s="16" t="str">
        <f t="shared" si="77"/>
        <v>N/A</v>
      </c>
      <c r="AE36" s="17" t="str">
        <f t="shared" si="78"/>
        <v>N/A</v>
      </c>
      <c r="AF36" s="88"/>
      <c r="AG36" s="112" t="s">
        <v>118</v>
      </c>
      <c r="AH36" s="13">
        <f>ROUNDDOWN(AH12*$C$30,1)</f>
        <v>32.700000000000003</v>
      </c>
      <c r="AI36" s="13">
        <f>ROUNDDOWN(AI12*$C$30,1)</f>
        <v>63.2</v>
      </c>
      <c r="AJ36" s="114">
        <f>ROUNDDOWN(AJ12*$C$30,1)</f>
        <v>85.4</v>
      </c>
      <c r="AK36" s="108"/>
      <c r="AL36" s="115" t="s">
        <v>118</v>
      </c>
      <c r="AM36" s="16">
        <f>ROUNDDOWN(AM12*$C$30,1)</f>
        <v>44.4</v>
      </c>
      <c r="AN36" s="16">
        <f>ROUNDDOWN(AN12*$C$30,1)</f>
        <v>69.3</v>
      </c>
      <c r="AO36" s="17">
        <f>ROUNDDOWN(AO12*$C$30,1)</f>
        <v>92.8</v>
      </c>
      <c r="AP36" s="88"/>
    </row>
    <row r="37" spans="1:42" ht="5.0999999999999996" customHeight="1" thickBot="1" x14ac:dyDescent="0.3"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W37" s="8"/>
      <c r="X37" s="8"/>
      <c r="Y37" s="8"/>
      <c r="Z37" s="8"/>
      <c r="AA37" s="8"/>
      <c r="AB37" s="8"/>
      <c r="AC37" s="8"/>
      <c r="AD37" s="8"/>
      <c r="AE37" s="8"/>
      <c r="AF37" s="89"/>
      <c r="AG37" s="108"/>
      <c r="AH37" s="108"/>
      <c r="AI37" s="108"/>
      <c r="AJ37" s="108"/>
      <c r="AK37" s="108"/>
      <c r="AL37" s="108"/>
      <c r="AM37" s="108"/>
      <c r="AN37" s="108"/>
      <c r="AO37" s="108"/>
      <c r="AP37" s="89"/>
    </row>
    <row r="38" spans="1:42" ht="15.75" thickBot="1" x14ac:dyDescent="0.3">
      <c r="B38" s="28" t="s">
        <v>119</v>
      </c>
      <c r="C38" s="29">
        <v>6.54</v>
      </c>
      <c r="D38" s="28"/>
      <c r="E38" s="28"/>
      <c r="F38" s="28"/>
      <c r="G38" s="28"/>
      <c r="H38" s="29">
        <v>6.54</v>
      </c>
      <c r="I38" s="28"/>
      <c r="J38" s="28"/>
      <c r="K38" s="28"/>
      <c r="L38" s="28"/>
      <c r="M38" s="29">
        <v>6.54</v>
      </c>
      <c r="N38" s="28"/>
      <c r="O38" s="28"/>
      <c r="P38" s="28"/>
      <c r="Q38" s="28"/>
      <c r="R38" s="29">
        <v>6.54</v>
      </c>
      <c r="T38" s="8"/>
      <c r="U38" s="8"/>
      <c r="W38" s="29">
        <v>6.54</v>
      </c>
      <c r="X38" s="28"/>
      <c r="Y38" s="28"/>
      <c r="Z38" s="28"/>
      <c r="AA38" s="28"/>
      <c r="AB38" s="29">
        <v>6.54</v>
      </c>
      <c r="AD38" s="8"/>
      <c r="AE38" s="8"/>
      <c r="AF38" s="89"/>
      <c r="AG38" s="108"/>
      <c r="AH38" s="108"/>
      <c r="AI38" s="108"/>
      <c r="AJ38" s="108"/>
      <c r="AK38" s="108"/>
      <c r="AN38" s="108"/>
      <c r="AO38" s="108"/>
      <c r="AP38" s="89"/>
    </row>
    <row r="39" spans="1:42" ht="14.45" customHeight="1" x14ac:dyDescent="0.25">
      <c r="A39" s="221" t="s">
        <v>123</v>
      </c>
      <c r="B39" s="26" t="s">
        <v>23</v>
      </c>
      <c r="C39" s="105">
        <f>IFERROR(C7*C$38,"N/A")</f>
        <v>58.729200000000006</v>
      </c>
      <c r="D39" s="106">
        <f>IFERROR(D7*C$38,"N/A")</f>
        <v>72.397800000000004</v>
      </c>
      <c r="E39" s="106">
        <f>IFERROR(E7*C$38,"N/A")</f>
        <v>151.72800000000001</v>
      </c>
      <c r="F39" s="107" t="s">
        <v>118</v>
      </c>
      <c r="G39" s="108"/>
      <c r="H39" s="109">
        <f>IFERROR(H7*H$38,"N/A")</f>
        <v>86.131799999999998</v>
      </c>
      <c r="I39" s="110">
        <f>IFERROR(I7*H$38,"N/A")</f>
        <v>114.777</v>
      </c>
      <c r="J39" s="110">
        <f>IFERROR(J7*H$38,"N/A")</f>
        <v>184.88579999999999</v>
      </c>
      <c r="K39" s="111" t="s">
        <v>118</v>
      </c>
      <c r="L39" s="8"/>
      <c r="M39" s="5">
        <f>IFERROR(M7*M$38,"N/A")</f>
        <v>76.472220000000007</v>
      </c>
      <c r="N39" s="6">
        <f>IFERROR(N7*M$38,"N/A")</f>
        <v>94.313340000000011</v>
      </c>
      <c r="O39" s="6">
        <f>IFERROR(O7*M$38,"N/A")</f>
        <v>197.61918000000003</v>
      </c>
      <c r="P39" s="7" t="s">
        <v>118</v>
      </c>
      <c r="Q39" s="8"/>
      <c r="R39" s="9">
        <f>IFERROR(R7*R$38,"N/A")</f>
        <v>112.15446</v>
      </c>
      <c r="S39" s="10">
        <f>IFERROR(S7*R$38,"N/A")</f>
        <v>149.49132000000003</v>
      </c>
      <c r="T39" s="10">
        <f>IFERROR(T7*R$38,"N/A")</f>
        <v>240.78318000000002</v>
      </c>
      <c r="U39" s="11" t="s">
        <v>118</v>
      </c>
      <c r="W39" s="5" t="str">
        <f>IFERROR(W7*W$38,"N/A")</f>
        <v>N/A</v>
      </c>
      <c r="X39" s="6" t="str">
        <f>IFERROR(X7*W$38,"N/A")</f>
        <v>N/A</v>
      </c>
      <c r="Y39" s="6" t="str">
        <f>IFERROR(Y7*W$38,"N/A")</f>
        <v>N/A</v>
      </c>
      <c r="Z39" s="7" t="s">
        <v>118</v>
      </c>
      <c r="AA39" s="8"/>
      <c r="AB39" s="9" t="str">
        <f>IFERROR(AB7*AB$38,"N/A")</f>
        <v>N/A</v>
      </c>
      <c r="AC39" s="10" t="str">
        <f>IFERROR(AC7*AB$38,"N/A")</f>
        <v>N/A</v>
      </c>
      <c r="AD39" s="10" t="str">
        <f>IFERROR(AD7*AB$38,"N/A")</f>
        <v>N/A</v>
      </c>
      <c r="AE39" s="11" t="s">
        <v>118</v>
      </c>
      <c r="AF39" s="88"/>
      <c r="AG39" s="5">
        <f>ROUNDDOWN(C39/(1-$AJ$2)*1.2,1)</f>
        <v>140.9</v>
      </c>
      <c r="AH39" s="6">
        <f>ROUNDDOWN(D39/(1-$AJ$2)*1.2,1)</f>
        <v>173.7</v>
      </c>
      <c r="AI39" s="6">
        <f>ROUNDDOWN(E39/(1-$AJ$2)*1.2,1)</f>
        <v>364.1</v>
      </c>
      <c r="AJ39" s="107" t="s">
        <v>118</v>
      </c>
      <c r="AK39" s="108"/>
      <c r="AL39" s="109">
        <f>ROUNDDOWN(H39/(1-$AJ$2)*1.2,1)</f>
        <v>206.7</v>
      </c>
      <c r="AM39" s="10">
        <f t="shared" ref="AM39:AN41" si="81">ROUNDDOWN(I39/(1-$AJ$2)*1.2,1)</f>
        <v>275.39999999999998</v>
      </c>
      <c r="AN39" s="10">
        <f t="shared" si="81"/>
        <v>443.7</v>
      </c>
      <c r="AO39" s="111" t="s">
        <v>118</v>
      </c>
      <c r="AP39" s="88"/>
    </row>
    <row r="40" spans="1:42" ht="14.45" customHeight="1" x14ac:dyDescent="0.25">
      <c r="A40" s="222"/>
      <c r="B40" s="27" t="s">
        <v>24</v>
      </c>
      <c r="C40" s="112">
        <f>IFERROR(C8*C$38,"N/A")</f>
        <v>61.410600000000002</v>
      </c>
      <c r="D40" s="113">
        <f>IFERROR(D8*C$38,"N/A")</f>
        <v>91.23299999999999</v>
      </c>
      <c r="E40" s="113">
        <f>IFERROR(E8*C$38,"N/A")</f>
        <v>179.91540000000001</v>
      </c>
      <c r="F40" s="114" t="s">
        <v>118</v>
      </c>
      <c r="G40" s="108"/>
      <c r="H40" s="115">
        <f>IFERROR(H8*H$38,"N/A")</f>
        <v>90.186599999999999</v>
      </c>
      <c r="I40" s="116">
        <f>IFERROR(I8*H$38,"N/A")</f>
        <v>135.9666</v>
      </c>
      <c r="J40" s="116">
        <f>IFERROR(J8*H$38,"N/A")</f>
        <v>204.30959999999999</v>
      </c>
      <c r="K40" s="117" t="s">
        <v>118</v>
      </c>
      <c r="L40" s="8"/>
      <c r="M40" s="12">
        <f>IFERROR(M8*M$38,"N/A")</f>
        <v>79.997279999999989</v>
      </c>
      <c r="N40" s="13">
        <f>IFERROR(N8*M$38,"N/A")</f>
        <v>118.84488</v>
      </c>
      <c r="O40" s="13">
        <f>IFERROR(O8*M$38,"N/A")</f>
        <v>234.30858000000003</v>
      </c>
      <c r="P40" s="14" t="s">
        <v>118</v>
      </c>
      <c r="Q40" s="8"/>
      <c r="R40" s="15">
        <f>IFERROR(R8*R$38,"N/A")</f>
        <v>117.47802</v>
      </c>
      <c r="S40" s="16">
        <f>IFERROR(S8*R$38,"N/A")</f>
        <v>177.11628000000002</v>
      </c>
      <c r="T40" s="16">
        <f>IFERROR(T8*R$38,"N/A")</f>
        <v>266.10606000000007</v>
      </c>
      <c r="U40" s="17" t="s">
        <v>118</v>
      </c>
      <c r="W40" s="12" t="str">
        <f>IFERROR(W8*W$38,"N/A")</f>
        <v>N/A</v>
      </c>
      <c r="X40" s="13" t="str">
        <f>IFERROR(X8*W$38,"N/A")</f>
        <v>N/A</v>
      </c>
      <c r="Y40" s="13" t="str">
        <f>IFERROR(Y8*W$38,"N/A")</f>
        <v>N/A</v>
      </c>
      <c r="Z40" s="14" t="s">
        <v>118</v>
      </c>
      <c r="AA40" s="8"/>
      <c r="AB40" s="15" t="str">
        <f>IFERROR(AB8*AB$38,"N/A")</f>
        <v>N/A</v>
      </c>
      <c r="AC40" s="16" t="str">
        <f>IFERROR(AC8*AB$38,"N/A")</f>
        <v>N/A</v>
      </c>
      <c r="AD40" s="16" t="str">
        <f>IFERROR(AD8*AB$38,"N/A")</f>
        <v>N/A</v>
      </c>
      <c r="AE40" s="17" t="s">
        <v>118</v>
      </c>
      <c r="AF40" s="88"/>
      <c r="AG40" s="12">
        <f t="shared" ref="AG40:AI41" si="82">ROUNDDOWN(C40/(1-$AJ$2)*1.2,1)</f>
        <v>147.30000000000001</v>
      </c>
      <c r="AH40" s="13">
        <f t="shared" si="82"/>
        <v>218.9</v>
      </c>
      <c r="AI40" s="13">
        <f t="shared" si="82"/>
        <v>431.7</v>
      </c>
      <c r="AJ40" s="114" t="s">
        <v>118</v>
      </c>
      <c r="AK40" s="108"/>
      <c r="AL40" s="115">
        <f t="shared" ref="AL40:AL41" si="83">ROUNDDOWN(H40/(1-$AJ$2)*1.2,1)</f>
        <v>216.4</v>
      </c>
      <c r="AM40" s="16">
        <f t="shared" si="81"/>
        <v>326.3</v>
      </c>
      <c r="AN40" s="16">
        <f t="shared" si="81"/>
        <v>490.3</v>
      </c>
      <c r="AO40" s="117" t="s">
        <v>118</v>
      </c>
      <c r="AP40" s="88"/>
    </row>
    <row r="41" spans="1:42" ht="14.45" customHeight="1" x14ac:dyDescent="0.25">
      <c r="A41" s="222"/>
      <c r="B41" s="27" t="s">
        <v>25</v>
      </c>
      <c r="C41" s="112">
        <f>IFERROR(C9*C$38,"N/A")</f>
        <v>67.034999999999997</v>
      </c>
      <c r="D41" s="113">
        <f>IFERROR(D9*C$38,"N/A")</f>
        <v>106.07879999999999</v>
      </c>
      <c r="E41" s="113">
        <f>IFERROR(E9*C$38,"N/A")</f>
        <v>216.47400000000002</v>
      </c>
      <c r="F41" s="114" t="s">
        <v>118</v>
      </c>
      <c r="G41" s="108"/>
      <c r="H41" s="115">
        <f>IFERROR(H9*H$38,"N/A")</f>
        <v>98.884799999999998</v>
      </c>
      <c r="I41" s="116">
        <f>IFERROR(I9*H$38,"N/A")</f>
        <v>151.6626</v>
      </c>
      <c r="J41" s="116">
        <f>IFERROR(J9*H$38,"N/A")</f>
        <v>247.99680000000001</v>
      </c>
      <c r="K41" s="117" t="s">
        <v>118</v>
      </c>
      <c r="L41" s="8"/>
      <c r="M41" s="12">
        <f>IFERROR(M9*M$38,"N/A")</f>
        <v>87.335160000000002</v>
      </c>
      <c r="N41" s="13">
        <f>IFERROR(N9*M$38,"N/A")</f>
        <v>138.12479999999999</v>
      </c>
      <c r="O41" s="13">
        <f>IFERROR(O9*M$38,"N/A")</f>
        <v>281.93286000000001</v>
      </c>
      <c r="P41" s="14" t="s">
        <v>118</v>
      </c>
      <c r="Q41" s="8"/>
      <c r="R41" s="15">
        <f>IFERROR(R9*R$38,"N/A")</f>
        <v>128.77260000000001</v>
      </c>
      <c r="S41" s="16">
        <f>IFERROR(S9*R$38,"N/A")</f>
        <v>197.54724000000002</v>
      </c>
      <c r="T41" s="16">
        <f>IFERROR(T9*R$38,"N/A")</f>
        <v>323.01060000000001</v>
      </c>
      <c r="U41" s="17" t="s">
        <v>118</v>
      </c>
      <c r="W41" s="12" t="str">
        <f>IFERROR(W9*W$38,"N/A")</f>
        <v>N/A</v>
      </c>
      <c r="X41" s="13" t="str">
        <f>IFERROR(X9*W$38,"N/A")</f>
        <v>N/A</v>
      </c>
      <c r="Y41" s="13" t="str">
        <f>IFERROR(Y9*W$38,"N/A")</f>
        <v>N/A</v>
      </c>
      <c r="Z41" s="14" t="s">
        <v>118</v>
      </c>
      <c r="AA41" s="8"/>
      <c r="AB41" s="15" t="str">
        <f>IFERROR(AB9*AB$38,"N/A")</f>
        <v>N/A</v>
      </c>
      <c r="AC41" s="16" t="str">
        <f>IFERROR(AC9*AB$38,"N/A")</f>
        <v>N/A</v>
      </c>
      <c r="AD41" s="16" t="str">
        <f>IFERROR(AD9*AB$38,"N/A")</f>
        <v>N/A</v>
      </c>
      <c r="AE41" s="17" t="s">
        <v>118</v>
      </c>
      <c r="AF41" s="88"/>
      <c r="AG41" s="12">
        <f t="shared" si="82"/>
        <v>160.80000000000001</v>
      </c>
      <c r="AH41" s="13">
        <f t="shared" si="82"/>
        <v>254.5</v>
      </c>
      <c r="AI41" s="13">
        <f t="shared" si="82"/>
        <v>519.5</v>
      </c>
      <c r="AJ41" s="114" t="s">
        <v>118</v>
      </c>
      <c r="AK41" s="108"/>
      <c r="AL41" s="115">
        <f t="shared" si="83"/>
        <v>237.3</v>
      </c>
      <c r="AM41" s="16">
        <f t="shared" si="81"/>
        <v>363.9</v>
      </c>
      <c r="AN41" s="16">
        <f t="shared" si="81"/>
        <v>595.1</v>
      </c>
      <c r="AO41" s="117" t="s">
        <v>118</v>
      </c>
      <c r="AP41" s="88"/>
    </row>
    <row r="42" spans="1:42" ht="14.45" customHeight="1" x14ac:dyDescent="0.25">
      <c r="A42" s="222"/>
      <c r="B42" s="27" t="s">
        <v>26</v>
      </c>
      <c r="C42" s="112" t="s">
        <v>118</v>
      </c>
      <c r="D42" s="113" t="s">
        <v>118</v>
      </c>
      <c r="E42" s="113" t="s">
        <v>118</v>
      </c>
      <c r="F42" s="114" t="s">
        <v>118</v>
      </c>
      <c r="G42" s="108"/>
      <c r="H42" s="115" t="s">
        <v>118</v>
      </c>
      <c r="I42" s="116" t="s">
        <v>118</v>
      </c>
      <c r="J42" s="116" t="s">
        <v>118</v>
      </c>
      <c r="K42" s="117" t="s">
        <v>118</v>
      </c>
      <c r="L42" s="8"/>
      <c r="M42" s="12" t="s">
        <v>118</v>
      </c>
      <c r="N42" s="13" t="s">
        <v>118</v>
      </c>
      <c r="O42" s="13" t="s">
        <v>118</v>
      </c>
      <c r="P42" s="14" t="s">
        <v>118</v>
      </c>
      <c r="Q42" s="8"/>
      <c r="R42" s="15" t="s">
        <v>118</v>
      </c>
      <c r="S42" s="16" t="s">
        <v>118</v>
      </c>
      <c r="T42" s="16" t="s">
        <v>118</v>
      </c>
      <c r="U42" s="17" t="s">
        <v>118</v>
      </c>
      <c r="W42" s="12" t="s">
        <v>118</v>
      </c>
      <c r="X42" s="13" t="s">
        <v>118</v>
      </c>
      <c r="Y42" s="13" t="s">
        <v>118</v>
      </c>
      <c r="Z42" s="14" t="s">
        <v>118</v>
      </c>
      <c r="AA42" s="8"/>
      <c r="AB42" s="15" t="s">
        <v>118</v>
      </c>
      <c r="AC42" s="16" t="s">
        <v>118</v>
      </c>
      <c r="AD42" s="16" t="s">
        <v>118</v>
      </c>
      <c r="AE42" s="17" t="s">
        <v>118</v>
      </c>
      <c r="AF42" s="88"/>
      <c r="AG42" s="12" t="s">
        <v>118</v>
      </c>
      <c r="AH42" s="13" t="s">
        <v>118</v>
      </c>
      <c r="AI42" s="13" t="s">
        <v>118</v>
      </c>
      <c r="AJ42" s="114" t="s">
        <v>118</v>
      </c>
      <c r="AK42" s="108"/>
      <c r="AL42" s="115" t="s">
        <v>118</v>
      </c>
      <c r="AM42" s="116" t="s">
        <v>118</v>
      </c>
      <c r="AN42" s="116" t="s">
        <v>118</v>
      </c>
      <c r="AO42" s="117" t="s">
        <v>118</v>
      </c>
      <c r="AP42" s="88"/>
    </row>
    <row r="43" spans="1:42" ht="14.45" customHeight="1" x14ac:dyDescent="0.25">
      <c r="A43" s="222"/>
      <c r="B43" s="27" t="s">
        <v>27</v>
      </c>
      <c r="C43" s="112" t="s">
        <v>118</v>
      </c>
      <c r="D43" s="113" t="s">
        <v>118</v>
      </c>
      <c r="E43" s="113" t="s">
        <v>118</v>
      </c>
      <c r="F43" s="114" t="s">
        <v>118</v>
      </c>
      <c r="G43" s="108"/>
      <c r="H43" s="115" t="s">
        <v>118</v>
      </c>
      <c r="I43" s="116" t="s">
        <v>118</v>
      </c>
      <c r="J43" s="116" t="s">
        <v>118</v>
      </c>
      <c r="K43" s="117" t="s">
        <v>118</v>
      </c>
      <c r="L43" s="8"/>
      <c r="M43" s="12" t="s">
        <v>118</v>
      </c>
      <c r="N43" s="13" t="s">
        <v>118</v>
      </c>
      <c r="O43" s="13" t="s">
        <v>118</v>
      </c>
      <c r="P43" s="14" t="s">
        <v>118</v>
      </c>
      <c r="Q43" s="8"/>
      <c r="R43" s="15" t="s">
        <v>118</v>
      </c>
      <c r="S43" s="16" t="s">
        <v>118</v>
      </c>
      <c r="T43" s="16" t="s">
        <v>118</v>
      </c>
      <c r="U43" s="17" t="s">
        <v>118</v>
      </c>
      <c r="W43" s="12" t="s">
        <v>118</v>
      </c>
      <c r="X43" s="13" t="s">
        <v>118</v>
      </c>
      <c r="Y43" s="13" t="s">
        <v>118</v>
      </c>
      <c r="Z43" s="14" t="s">
        <v>118</v>
      </c>
      <c r="AA43" s="8"/>
      <c r="AB43" s="15" t="s">
        <v>118</v>
      </c>
      <c r="AC43" s="16" t="s">
        <v>118</v>
      </c>
      <c r="AD43" s="16" t="s">
        <v>118</v>
      </c>
      <c r="AE43" s="17" t="s">
        <v>118</v>
      </c>
      <c r="AF43" s="88"/>
      <c r="AG43" s="112" t="s">
        <v>118</v>
      </c>
      <c r="AH43" s="13" t="s">
        <v>118</v>
      </c>
      <c r="AI43" s="13" t="s">
        <v>118</v>
      </c>
      <c r="AJ43" s="114" t="s">
        <v>118</v>
      </c>
      <c r="AK43" s="108"/>
      <c r="AL43" s="115" t="s">
        <v>118</v>
      </c>
      <c r="AM43" s="116" t="s">
        <v>118</v>
      </c>
      <c r="AN43" s="116" t="s">
        <v>118</v>
      </c>
      <c r="AO43" s="117" t="s">
        <v>118</v>
      </c>
      <c r="AP43" s="88"/>
    </row>
    <row r="44" spans="1:42" ht="14.45" customHeight="1" thickBot="1" x14ac:dyDescent="0.3">
      <c r="A44" s="223"/>
      <c r="B44" s="27" t="s">
        <v>29</v>
      </c>
      <c r="C44" s="112" t="str">
        <f>IFERROR(C12*C$38,"N/A")</f>
        <v>N/A</v>
      </c>
      <c r="D44" s="113" t="s">
        <v>118</v>
      </c>
      <c r="E44" s="113" t="s">
        <v>118</v>
      </c>
      <c r="F44" s="114" t="s">
        <v>118</v>
      </c>
      <c r="G44" s="108"/>
      <c r="H44" s="115" t="s">
        <v>118</v>
      </c>
      <c r="I44" s="116" t="s">
        <v>118</v>
      </c>
      <c r="J44" s="116" t="s">
        <v>118</v>
      </c>
      <c r="K44" s="117" t="s">
        <v>118</v>
      </c>
      <c r="L44" s="8"/>
      <c r="M44" s="12" t="str">
        <f>IFERROR(M12*M$38,"N/A")</f>
        <v>N/A</v>
      </c>
      <c r="N44" s="13" t="s">
        <v>118</v>
      </c>
      <c r="O44" s="13" t="s">
        <v>118</v>
      </c>
      <c r="P44" s="14" t="s">
        <v>118</v>
      </c>
      <c r="Q44" s="8"/>
      <c r="R44" s="15" t="s">
        <v>118</v>
      </c>
      <c r="S44" s="16" t="s">
        <v>118</v>
      </c>
      <c r="T44" s="16" t="s">
        <v>118</v>
      </c>
      <c r="U44" s="17" t="s">
        <v>118</v>
      </c>
      <c r="W44" s="12" t="str">
        <f>IFERROR(W12*W$38,"N/A")</f>
        <v>N/A</v>
      </c>
      <c r="X44" s="13" t="s">
        <v>118</v>
      </c>
      <c r="Y44" s="13" t="s">
        <v>118</v>
      </c>
      <c r="Z44" s="14" t="s">
        <v>118</v>
      </c>
      <c r="AA44" s="8"/>
      <c r="AB44" s="15" t="s">
        <v>118</v>
      </c>
      <c r="AC44" s="16" t="s">
        <v>118</v>
      </c>
      <c r="AD44" s="16" t="s">
        <v>118</v>
      </c>
      <c r="AE44" s="17" t="s">
        <v>118</v>
      </c>
      <c r="AF44" s="88"/>
      <c r="AG44" s="112" t="str">
        <f>IFERROR(AG12*AG$38,"N/A")</f>
        <v>N/A</v>
      </c>
      <c r="AH44" s="13" t="s">
        <v>118</v>
      </c>
      <c r="AI44" s="13" t="s">
        <v>118</v>
      </c>
      <c r="AJ44" s="114" t="s">
        <v>118</v>
      </c>
      <c r="AK44" s="108"/>
      <c r="AL44" s="115" t="s">
        <v>118</v>
      </c>
      <c r="AM44" s="116" t="s">
        <v>118</v>
      </c>
      <c r="AN44" s="116" t="s">
        <v>118</v>
      </c>
      <c r="AO44" s="117" t="s">
        <v>118</v>
      </c>
      <c r="AP44" s="88"/>
    </row>
    <row r="45" spans="1:42" ht="5.0999999999999996" customHeight="1" thickBot="1" x14ac:dyDescent="0.3"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W45" s="8"/>
      <c r="X45" s="8"/>
      <c r="Y45" s="8"/>
      <c r="Z45" s="8"/>
      <c r="AA45" s="8"/>
      <c r="AB45" s="8"/>
      <c r="AC45" s="8"/>
      <c r="AD45" s="8"/>
      <c r="AE45" s="8"/>
      <c r="AF45" s="89"/>
      <c r="AG45" s="108"/>
      <c r="AH45" s="108"/>
      <c r="AI45" s="108"/>
      <c r="AJ45" s="108"/>
      <c r="AK45" s="108"/>
      <c r="AL45" s="108"/>
      <c r="AM45" s="108"/>
      <c r="AN45" s="108"/>
      <c r="AO45" s="108"/>
      <c r="AP45" s="89"/>
    </row>
    <row r="46" spans="1:42" ht="15.75" thickBot="1" x14ac:dyDescent="0.3">
      <c r="B46" s="28" t="s">
        <v>119</v>
      </c>
      <c r="C46" s="30">
        <v>8.1750000000000007</v>
      </c>
      <c r="D46" s="28"/>
      <c r="E46" s="28"/>
      <c r="F46" s="28"/>
      <c r="G46" s="28"/>
      <c r="H46" s="30">
        <v>8.1750000000000007</v>
      </c>
      <c r="I46" s="28"/>
      <c r="J46" s="28"/>
      <c r="K46" s="28"/>
      <c r="L46" s="28"/>
      <c r="M46" s="30">
        <v>8.1750000000000007</v>
      </c>
      <c r="N46" s="28"/>
      <c r="O46" s="28"/>
      <c r="P46" s="28"/>
      <c r="Q46" s="28"/>
      <c r="R46" s="30">
        <v>8.1750000000000007</v>
      </c>
      <c r="T46" s="8"/>
      <c r="U46" s="8"/>
      <c r="W46" s="30">
        <v>8.1750000000000007</v>
      </c>
      <c r="X46" s="28"/>
      <c r="Y46" s="28"/>
      <c r="Z46" s="28"/>
      <c r="AA46" s="28"/>
      <c r="AB46" s="30">
        <v>8.1750000000000007</v>
      </c>
      <c r="AD46" s="8"/>
      <c r="AE46" s="8"/>
      <c r="AF46" s="89"/>
      <c r="AG46" s="108"/>
      <c r="AH46" s="108"/>
      <c r="AI46" s="108"/>
      <c r="AJ46" s="108"/>
      <c r="AK46" s="108"/>
      <c r="AN46" s="108"/>
      <c r="AO46" s="108"/>
      <c r="AP46" s="89"/>
    </row>
    <row r="47" spans="1:42" ht="14.45" customHeight="1" x14ac:dyDescent="0.25">
      <c r="A47" s="221" t="s">
        <v>124</v>
      </c>
      <c r="B47" s="26" t="s">
        <v>23</v>
      </c>
      <c r="C47" s="105">
        <f>IFERROR(C7*C$46,"N/A")</f>
        <v>73.411500000000004</v>
      </c>
      <c r="D47" s="106">
        <f>IFERROR(D7*C$46,"N/A")</f>
        <v>90.497250000000008</v>
      </c>
      <c r="E47" s="106">
        <f>IFERROR(E7*C$46,"N/A")</f>
        <v>189.66</v>
      </c>
      <c r="F47" s="107" t="s">
        <v>118</v>
      </c>
      <c r="G47" s="108"/>
      <c r="H47" s="109">
        <f>IFERROR(H7*H$46,"N/A")</f>
        <v>107.66475000000001</v>
      </c>
      <c r="I47" s="110">
        <f>IFERROR(I7*H$46,"N/A")</f>
        <v>143.47125000000003</v>
      </c>
      <c r="J47" s="110">
        <f>IFERROR(J7*H$46,"N/A")</f>
        <v>231.10725000000002</v>
      </c>
      <c r="K47" s="11" t="s">
        <v>118</v>
      </c>
      <c r="L47" s="8"/>
      <c r="M47" s="5">
        <f>IFERROR(M7*M$46,"N/A")</f>
        <v>95.59027500000002</v>
      </c>
      <c r="N47" s="6">
        <f>IFERROR(N7*M$46,"N/A")</f>
        <v>117.89167500000002</v>
      </c>
      <c r="O47" s="6">
        <f>IFERROR(O7*M$46,"N/A")</f>
        <v>247.02397500000004</v>
      </c>
      <c r="P47" s="7" t="s">
        <v>118</v>
      </c>
      <c r="Q47" s="8"/>
      <c r="R47" s="9">
        <f>IFERROR(R7*R$46,"N/A")</f>
        <v>140.19307500000002</v>
      </c>
      <c r="S47" s="10">
        <f>IFERROR(S7*R$46,"N/A")</f>
        <v>186.86415000000005</v>
      </c>
      <c r="T47" s="10">
        <f>IFERROR(T7*R$46,"N/A")</f>
        <v>300.97897500000005</v>
      </c>
      <c r="U47" s="11" t="s">
        <v>118</v>
      </c>
      <c r="W47" s="5" t="str">
        <f>IFERROR(W7*W$46,"N/A")</f>
        <v>N/A</v>
      </c>
      <c r="X47" s="6" t="str">
        <f>IFERROR(X7*W$46,"N/A")</f>
        <v>N/A</v>
      </c>
      <c r="Y47" s="6" t="str">
        <f>IFERROR(Y7*W$46,"N/A")</f>
        <v>N/A</v>
      </c>
      <c r="Z47" s="7" t="s">
        <v>118</v>
      </c>
      <c r="AA47" s="8"/>
      <c r="AB47" s="9" t="str">
        <f>IFERROR(AB7*AB$46,"N/A")</f>
        <v>N/A</v>
      </c>
      <c r="AC47" s="10" t="str">
        <f>IFERROR(AC7*AB$46,"N/A")</f>
        <v>N/A</v>
      </c>
      <c r="AD47" s="10" t="str">
        <f>IFERROR(AD7*AB$46,"N/A")</f>
        <v>N/A</v>
      </c>
      <c r="AE47" s="11" t="s">
        <v>118</v>
      </c>
      <c r="AF47" s="88"/>
      <c r="AG47" s="5">
        <f>ROUNDDOWN(C47/(1-$AJ$2)*1.2,1)</f>
        <v>176.1</v>
      </c>
      <c r="AH47" s="6">
        <f>ROUNDDOWN(D47/(1-$AJ$2)*1.2,1)</f>
        <v>217.1</v>
      </c>
      <c r="AI47" s="6">
        <f>ROUNDDOWN(E47/(1-$AJ$2)*1.2,1)</f>
        <v>455.1</v>
      </c>
      <c r="AJ47" s="107" t="s">
        <v>118</v>
      </c>
      <c r="AK47" s="108"/>
      <c r="AL47" s="109">
        <f>ROUNDDOWN(H47/(1-$AJ$2)*1.2,1)</f>
        <v>258.3</v>
      </c>
      <c r="AM47" s="10">
        <f t="shared" ref="AM47:AN49" si="84">ROUNDDOWN(I47/(1-$AJ$2)*1.2,1)</f>
        <v>344.3</v>
      </c>
      <c r="AN47" s="10">
        <f t="shared" si="84"/>
        <v>554.6</v>
      </c>
      <c r="AO47" s="111" t="s">
        <v>118</v>
      </c>
      <c r="AP47" s="88"/>
    </row>
    <row r="48" spans="1:42" ht="14.45" customHeight="1" x14ac:dyDescent="0.25">
      <c r="A48" s="222"/>
      <c r="B48" s="27" t="s">
        <v>24</v>
      </c>
      <c r="C48" s="112">
        <f>IFERROR(C8*C$46,"N/A")</f>
        <v>76.763250000000014</v>
      </c>
      <c r="D48" s="113">
        <f>IFERROR(D8*C$46,"N/A")</f>
        <v>114.04125000000001</v>
      </c>
      <c r="E48" s="113">
        <f>IFERROR(E8*C$46,"N/A")</f>
        <v>224.89425000000003</v>
      </c>
      <c r="F48" s="114" t="s">
        <v>118</v>
      </c>
      <c r="G48" s="108"/>
      <c r="H48" s="115">
        <f>IFERROR(H8*H$46,"N/A")</f>
        <v>112.73325</v>
      </c>
      <c r="I48" s="116">
        <f>IFERROR(I8*H$46,"N/A")</f>
        <v>169.95825000000002</v>
      </c>
      <c r="J48" s="116">
        <f>IFERROR(J8*H$46,"N/A")</f>
        <v>255.387</v>
      </c>
      <c r="K48" s="17" t="s">
        <v>118</v>
      </c>
      <c r="L48" s="8"/>
      <c r="M48" s="12">
        <f>IFERROR(M8*M$46,"N/A")</f>
        <v>99.996600000000001</v>
      </c>
      <c r="N48" s="13">
        <f>IFERROR(N8*M$46,"N/A")</f>
        <v>148.55610000000001</v>
      </c>
      <c r="O48" s="13">
        <f>IFERROR(O8*M$46,"N/A")</f>
        <v>292.88572500000009</v>
      </c>
      <c r="P48" s="14" t="s">
        <v>118</v>
      </c>
      <c r="Q48" s="8"/>
      <c r="R48" s="15">
        <f>IFERROR(R8*R$46,"N/A")</f>
        <v>146.84752500000002</v>
      </c>
      <c r="S48" s="16">
        <f>IFERROR(S8*R$46,"N/A")</f>
        <v>221.39535000000006</v>
      </c>
      <c r="T48" s="16">
        <f>IFERROR(T8*R$46,"N/A")</f>
        <v>332.63257500000009</v>
      </c>
      <c r="U48" s="17" t="s">
        <v>118</v>
      </c>
      <c r="W48" s="12" t="str">
        <f>IFERROR(W8*W$46,"N/A")</f>
        <v>N/A</v>
      </c>
      <c r="X48" s="13" t="str">
        <f>IFERROR(X8*W$46,"N/A")</f>
        <v>N/A</v>
      </c>
      <c r="Y48" s="13" t="str">
        <f>IFERROR(Y8*W$46,"N/A")</f>
        <v>N/A</v>
      </c>
      <c r="Z48" s="14" t="s">
        <v>118</v>
      </c>
      <c r="AA48" s="8"/>
      <c r="AB48" s="15" t="str">
        <f>IFERROR(AB8*AB$46,"N/A")</f>
        <v>N/A</v>
      </c>
      <c r="AC48" s="16" t="str">
        <f>IFERROR(AC8*AB$46,"N/A")</f>
        <v>N/A</v>
      </c>
      <c r="AD48" s="16" t="str">
        <f>IFERROR(AD8*AB$46,"N/A")</f>
        <v>N/A</v>
      </c>
      <c r="AE48" s="17" t="s">
        <v>118</v>
      </c>
      <c r="AF48" s="88"/>
      <c r="AG48" s="12">
        <f t="shared" ref="AG48:AI49" si="85">ROUNDDOWN(C48/(1-$AJ$2)*1.2,1)</f>
        <v>184.2</v>
      </c>
      <c r="AH48" s="13">
        <f t="shared" si="85"/>
        <v>273.60000000000002</v>
      </c>
      <c r="AI48" s="13">
        <f t="shared" si="85"/>
        <v>539.70000000000005</v>
      </c>
      <c r="AJ48" s="114" t="s">
        <v>118</v>
      </c>
      <c r="AK48" s="108"/>
      <c r="AL48" s="115">
        <f t="shared" ref="AL48:AL49" si="86">ROUNDDOWN(H48/(1-$AJ$2)*1.2,1)</f>
        <v>270.5</v>
      </c>
      <c r="AM48" s="16">
        <f t="shared" si="84"/>
        <v>407.8</v>
      </c>
      <c r="AN48" s="16">
        <f t="shared" si="84"/>
        <v>612.9</v>
      </c>
      <c r="AO48" s="117" t="s">
        <v>118</v>
      </c>
      <c r="AP48" s="88"/>
    </row>
    <row r="49" spans="1:42" ht="14.45" customHeight="1" x14ac:dyDescent="0.25">
      <c r="A49" s="222"/>
      <c r="B49" s="27" t="s">
        <v>25</v>
      </c>
      <c r="C49" s="112">
        <f>IFERROR(C9*C$46,"N/A")</f>
        <v>83.793750000000003</v>
      </c>
      <c r="D49" s="113">
        <f>IFERROR(D9*C$46,"N/A")</f>
        <v>132.5985</v>
      </c>
      <c r="E49" s="113">
        <f>IFERROR(E9*C$46,"N/A")</f>
        <v>270.59250000000003</v>
      </c>
      <c r="F49" s="114" t="s">
        <v>118</v>
      </c>
      <c r="G49" s="108"/>
      <c r="H49" s="115">
        <f>IFERROR(H9*H$46,"N/A")</f>
        <v>123.60600000000001</v>
      </c>
      <c r="I49" s="116">
        <f>IFERROR(I9*H$46,"N/A")</f>
        <v>189.57825000000003</v>
      </c>
      <c r="J49" s="116">
        <f>IFERROR(J9*H$46,"N/A")</f>
        <v>309.99600000000004</v>
      </c>
      <c r="K49" s="17" t="s">
        <v>118</v>
      </c>
      <c r="L49" s="8"/>
      <c r="M49" s="12">
        <f>IFERROR(M9*M$46,"N/A")</f>
        <v>109.16895000000002</v>
      </c>
      <c r="N49" s="13">
        <f>IFERROR(N9*M$46,"N/A")</f>
        <v>172.65600000000003</v>
      </c>
      <c r="O49" s="13">
        <f>IFERROR(O9*M$46,"N/A")</f>
        <v>352.41607500000003</v>
      </c>
      <c r="P49" s="14" t="s">
        <v>118</v>
      </c>
      <c r="Q49" s="8"/>
      <c r="R49" s="15">
        <f>IFERROR(R9*R$46,"N/A")</f>
        <v>160.96575000000001</v>
      </c>
      <c r="S49" s="16">
        <f>IFERROR(S9*R$46,"N/A")</f>
        <v>246.93405000000004</v>
      </c>
      <c r="T49" s="16">
        <f>IFERROR(T9*R$46,"N/A")</f>
        <v>403.76325000000003</v>
      </c>
      <c r="U49" s="17" t="s">
        <v>118</v>
      </c>
      <c r="W49" s="12" t="str">
        <f>IFERROR(W9*W$46,"N/A")</f>
        <v>N/A</v>
      </c>
      <c r="X49" s="13" t="str">
        <f>IFERROR(X9*W$46,"N/A")</f>
        <v>N/A</v>
      </c>
      <c r="Y49" s="13" t="str">
        <f>IFERROR(Y9*W$46,"N/A")</f>
        <v>N/A</v>
      </c>
      <c r="Z49" s="14" t="s">
        <v>118</v>
      </c>
      <c r="AA49" s="8"/>
      <c r="AB49" s="15" t="str">
        <f>IFERROR(AB9*AB$46,"N/A")</f>
        <v>N/A</v>
      </c>
      <c r="AC49" s="16" t="str">
        <f>IFERROR(AC9*AB$46,"N/A")</f>
        <v>N/A</v>
      </c>
      <c r="AD49" s="16" t="str">
        <f>IFERROR(AD9*AB$46,"N/A")</f>
        <v>N/A</v>
      </c>
      <c r="AE49" s="17" t="s">
        <v>118</v>
      </c>
      <c r="AF49" s="88"/>
      <c r="AG49" s="12">
        <f t="shared" si="85"/>
        <v>201.1</v>
      </c>
      <c r="AH49" s="13">
        <f t="shared" si="85"/>
        <v>318.2</v>
      </c>
      <c r="AI49" s="13">
        <f t="shared" si="85"/>
        <v>649.4</v>
      </c>
      <c r="AJ49" s="114" t="s">
        <v>118</v>
      </c>
      <c r="AK49" s="108"/>
      <c r="AL49" s="115">
        <f t="shared" si="86"/>
        <v>296.60000000000002</v>
      </c>
      <c r="AM49" s="16">
        <f t="shared" si="84"/>
        <v>454.9</v>
      </c>
      <c r="AN49" s="16">
        <f t="shared" si="84"/>
        <v>743.9</v>
      </c>
      <c r="AO49" s="117" t="s">
        <v>118</v>
      </c>
      <c r="AP49" s="88"/>
    </row>
    <row r="50" spans="1:42" ht="14.45" customHeight="1" x14ac:dyDescent="0.25">
      <c r="A50" s="222"/>
      <c r="B50" s="27" t="s">
        <v>26</v>
      </c>
      <c r="C50" s="12" t="s">
        <v>118</v>
      </c>
      <c r="D50" s="13" t="s">
        <v>118</v>
      </c>
      <c r="E50" s="13" t="s">
        <v>118</v>
      </c>
      <c r="F50" s="14" t="s">
        <v>118</v>
      </c>
      <c r="G50" s="8"/>
      <c r="H50" s="15" t="s">
        <v>118</v>
      </c>
      <c r="I50" s="16" t="s">
        <v>118</v>
      </c>
      <c r="J50" s="16" t="s">
        <v>118</v>
      </c>
      <c r="K50" s="17" t="s">
        <v>118</v>
      </c>
      <c r="L50" s="8"/>
      <c r="M50" s="12" t="s">
        <v>118</v>
      </c>
      <c r="N50" s="13" t="s">
        <v>118</v>
      </c>
      <c r="O50" s="13" t="s">
        <v>118</v>
      </c>
      <c r="P50" s="14" t="s">
        <v>118</v>
      </c>
      <c r="Q50" s="8"/>
      <c r="R50" s="15" t="s">
        <v>118</v>
      </c>
      <c r="S50" s="16" t="s">
        <v>118</v>
      </c>
      <c r="T50" s="16" t="s">
        <v>118</v>
      </c>
      <c r="U50" s="17" t="s">
        <v>118</v>
      </c>
      <c r="W50" s="12" t="s">
        <v>118</v>
      </c>
      <c r="X50" s="13" t="s">
        <v>118</v>
      </c>
      <c r="Y50" s="13" t="s">
        <v>118</v>
      </c>
      <c r="Z50" s="14" t="s">
        <v>118</v>
      </c>
      <c r="AA50" s="8"/>
      <c r="AB50" s="15" t="s">
        <v>118</v>
      </c>
      <c r="AC50" s="16" t="s">
        <v>118</v>
      </c>
      <c r="AD50" s="16" t="s">
        <v>118</v>
      </c>
      <c r="AE50" s="17" t="s">
        <v>118</v>
      </c>
      <c r="AF50" s="88"/>
      <c r="AG50" s="112" t="s">
        <v>118</v>
      </c>
      <c r="AH50" s="113" t="s">
        <v>118</v>
      </c>
      <c r="AI50" s="113" t="s">
        <v>118</v>
      </c>
      <c r="AJ50" s="114" t="s">
        <v>118</v>
      </c>
      <c r="AK50" s="108"/>
      <c r="AL50" s="15" t="s">
        <v>118</v>
      </c>
      <c r="AM50" s="116" t="s">
        <v>118</v>
      </c>
      <c r="AN50" s="116" t="s">
        <v>118</v>
      </c>
      <c r="AO50" s="117" t="s">
        <v>118</v>
      </c>
      <c r="AP50" s="88"/>
    </row>
    <row r="51" spans="1:42" ht="14.45" customHeight="1" x14ac:dyDescent="0.25">
      <c r="A51" s="222"/>
      <c r="B51" s="27" t="s">
        <v>27</v>
      </c>
      <c r="C51" s="12" t="s">
        <v>118</v>
      </c>
      <c r="D51" s="13" t="s">
        <v>118</v>
      </c>
      <c r="E51" s="13" t="s">
        <v>118</v>
      </c>
      <c r="F51" s="14" t="s">
        <v>118</v>
      </c>
      <c r="G51" s="8"/>
      <c r="H51" s="15" t="s">
        <v>118</v>
      </c>
      <c r="I51" s="16" t="s">
        <v>118</v>
      </c>
      <c r="J51" s="16" t="s">
        <v>118</v>
      </c>
      <c r="K51" s="17" t="s">
        <v>118</v>
      </c>
      <c r="L51" s="8"/>
      <c r="M51" s="12" t="s">
        <v>118</v>
      </c>
      <c r="N51" s="13" t="s">
        <v>118</v>
      </c>
      <c r="O51" s="13" t="s">
        <v>118</v>
      </c>
      <c r="P51" s="14" t="s">
        <v>118</v>
      </c>
      <c r="Q51" s="8"/>
      <c r="R51" s="15" t="s">
        <v>118</v>
      </c>
      <c r="S51" s="16" t="s">
        <v>118</v>
      </c>
      <c r="T51" s="16" t="s">
        <v>118</v>
      </c>
      <c r="U51" s="17" t="s">
        <v>118</v>
      </c>
      <c r="W51" s="12" t="s">
        <v>118</v>
      </c>
      <c r="X51" s="13" t="s">
        <v>118</v>
      </c>
      <c r="Y51" s="13" t="s">
        <v>118</v>
      </c>
      <c r="Z51" s="14" t="s">
        <v>118</v>
      </c>
      <c r="AA51" s="8"/>
      <c r="AB51" s="15" t="s">
        <v>118</v>
      </c>
      <c r="AC51" s="16" t="s">
        <v>118</v>
      </c>
      <c r="AD51" s="16" t="s">
        <v>118</v>
      </c>
      <c r="AE51" s="17" t="s">
        <v>118</v>
      </c>
      <c r="AF51" s="88"/>
      <c r="AG51" s="112" t="s">
        <v>118</v>
      </c>
      <c r="AH51" s="113" t="s">
        <v>118</v>
      </c>
      <c r="AI51" s="113" t="s">
        <v>118</v>
      </c>
      <c r="AJ51" s="114" t="s">
        <v>118</v>
      </c>
      <c r="AK51" s="108"/>
      <c r="AL51" s="115" t="s">
        <v>118</v>
      </c>
      <c r="AM51" s="116" t="s">
        <v>118</v>
      </c>
      <c r="AN51" s="116" t="s">
        <v>118</v>
      </c>
      <c r="AO51" s="117" t="s">
        <v>118</v>
      </c>
      <c r="AP51" s="88"/>
    </row>
    <row r="52" spans="1:42" ht="14.45" customHeight="1" thickBot="1" x14ac:dyDescent="0.3">
      <c r="A52" s="223"/>
      <c r="B52" s="27" t="s">
        <v>29</v>
      </c>
      <c r="C52" s="12" t="str">
        <f>IFERROR(C20*C$38,"N/A")</f>
        <v>N/A</v>
      </c>
      <c r="D52" s="13" t="s">
        <v>118</v>
      </c>
      <c r="E52" s="13" t="s">
        <v>118</v>
      </c>
      <c r="F52" s="14" t="s">
        <v>118</v>
      </c>
      <c r="G52" s="8"/>
      <c r="H52" s="15" t="s">
        <v>118</v>
      </c>
      <c r="I52" s="16" t="s">
        <v>118</v>
      </c>
      <c r="J52" s="16" t="s">
        <v>118</v>
      </c>
      <c r="K52" s="17" t="s">
        <v>118</v>
      </c>
      <c r="L52" s="8"/>
      <c r="M52" s="12" t="str">
        <f>IFERROR(M20*M$38,"N/A")</f>
        <v>N/A</v>
      </c>
      <c r="N52" s="13" t="s">
        <v>118</v>
      </c>
      <c r="O52" s="13" t="s">
        <v>118</v>
      </c>
      <c r="P52" s="14" t="s">
        <v>118</v>
      </c>
      <c r="Q52" s="8"/>
      <c r="R52" s="15" t="s">
        <v>118</v>
      </c>
      <c r="S52" s="16" t="s">
        <v>118</v>
      </c>
      <c r="T52" s="16" t="s">
        <v>118</v>
      </c>
      <c r="U52" s="17" t="s">
        <v>118</v>
      </c>
      <c r="W52" s="12" t="str">
        <f>IFERROR(W20*W$38,"N/A")</f>
        <v>N/A</v>
      </c>
      <c r="X52" s="13" t="s">
        <v>118</v>
      </c>
      <c r="Y52" s="13" t="s">
        <v>118</v>
      </c>
      <c r="Z52" s="14" t="s">
        <v>118</v>
      </c>
      <c r="AA52" s="8"/>
      <c r="AB52" s="15" t="s">
        <v>118</v>
      </c>
      <c r="AC52" s="16" t="s">
        <v>118</v>
      </c>
      <c r="AD52" s="16" t="s">
        <v>118</v>
      </c>
      <c r="AE52" s="17" t="s">
        <v>118</v>
      </c>
      <c r="AF52" s="88"/>
      <c r="AG52" s="112" t="str">
        <f>IFERROR(AG20*AG$38,"N/A")</f>
        <v>N/A</v>
      </c>
      <c r="AH52" s="113" t="s">
        <v>118</v>
      </c>
      <c r="AI52" s="113" t="s">
        <v>118</v>
      </c>
      <c r="AJ52" s="114" t="s">
        <v>118</v>
      </c>
      <c r="AK52" s="108"/>
      <c r="AL52" s="115" t="s">
        <v>118</v>
      </c>
      <c r="AM52" s="116" t="s">
        <v>118</v>
      </c>
      <c r="AN52" s="116" t="s">
        <v>118</v>
      </c>
      <c r="AO52" s="117" t="s">
        <v>118</v>
      </c>
      <c r="AP52" s="88"/>
    </row>
  </sheetData>
  <mergeCells count="21">
    <mergeCell ref="A15:A20"/>
    <mergeCell ref="A23:A28"/>
    <mergeCell ref="A31:A36"/>
    <mergeCell ref="A39:A44"/>
    <mergeCell ref="A47:A52"/>
    <mergeCell ref="A7:A12"/>
    <mergeCell ref="C1:K1"/>
    <mergeCell ref="M1:U1"/>
    <mergeCell ref="W1:AE1"/>
    <mergeCell ref="AG1:AO1"/>
    <mergeCell ref="AB3:AE3"/>
    <mergeCell ref="AG3:AJ3"/>
    <mergeCell ref="AL3:AO3"/>
    <mergeCell ref="AR2:BB2"/>
    <mergeCell ref="C3:F3"/>
    <mergeCell ref="H3:K3"/>
    <mergeCell ref="M3:P3"/>
    <mergeCell ref="R3:U3"/>
    <mergeCell ref="W3:Z3"/>
    <mergeCell ref="AS3:AV3"/>
    <mergeCell ref="AW3:AZ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02E26-1EF5-4051-80A4-74BAFD98BA03}">
  <dimension ref="A1:BN79"/>
  <sheetViews>
    <sheetView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A13" sqref="AA13"/>
    </sheetView>
  </sheetViews>
  <sheetFormatPr defaultColWidth="8.85546875" defaultRowHeight="15" x14ac:dyDescent="0.25"/>
  <cols>
    <col min="1" max="1" width="50.7109375" style="1" customWidth="1"/>
    <col min="2" max="2" width="11.5703125" style="1" customWidth="1"/>
    <col min="3" max="4" width="7.7109375" style="1" customWidth="1"/>
    <col min="5" max="5" width="3.5703125" style="1" customWidth="1"/>
    <col min="6" max="7" width="7.7109375" style="1" customWidth="1"/>
    <col min="8" max="8" width="4" style="1" customWidth="1"/>
    <col min="9" max="10" width="6.7109375" style="1" customWidth="1"/>
    <col min="11" max="11" width="4" style="1" customWidth="1"/>
    <col min="12" max="13" width="7.7109375" style="1" customWidth="1"/>
    <col min="14" max="14" width="5.5703125" style="1" customWidth="1"/>
    <col min="15" max="16" width="7.7109375" style="1" customWidth="1"/>
    <col min="17" max="17" width="5.5703125" style="1" customWidth="1"/>
    <col min="18" max="18" width="6.5703125" style="1" bestFit="1" customWidth="1"/>
    <col min="19" max="19" width="7.85546875" style="1" bestFit="1" customWidth="1"/>
    <col min="20" max="20" width="5.5703125" style="1" customWidth="1"/>
    <col min="21" max="22" width="12.5703125" style="1" customWidth="1"/>
    <col min="23" max="23" width="3" style="1" customWidth="1"/>
    <col min="24" max="25" width="10.7109375" style="1" customWidth="1"/>
    <col min="26" max="26" width="5.7109375" style="1" bestFit="1" customWidth="1"/>
    <col min="27" max="28" width="8.140625" style="1" bestFit="1" customWidth="1"/>
    <col min="29" max="29" width="5.7109375" style="1" customWidth="1"/>
    <col min="30" max="30" width="7.140625" style="1" bestFit="1" customWidth="1"/>
    <col min="31" max="31" width="8.85546875" style="1" customWidth="1"/>
    <col min="32" max="32" width="5.7109375" style="1" customWidth="1"/>
    <col min="33" max="34" width="6.7109375" style="1" bestFit="1" customWidth="1"/>
    <col min="35" max="35" width="5.7109375" style="1" customWidth="1"/>
    <col min="36" max="36" width="7.140625" style="1" bestFit="1" customWidth="1"/>
    <col min="37" max="37" width="6.140625" style="1" bestFit="1" customWidth="1"/>
    <col min="38" max="38" width="7.7109375" style="1" bestFit="1" customWidth="1"/>
    <col min="39" max="40" width="8" style="1" bestFit="1" customWidth="1"/>
    <col min="41" max="41" width="3.28515625" style="1" customWidth="1"/>
    <col min="42" max="42" width="5.140625" style="1" bestFit="1" customWidth="1"/>
    <col min="43" max="43" width="6.140625" style="1" bestFit="1" customWidth="1"/>
    <col min="44" max="44" width="5.140625" style="1" customWidth="1"/>
    <col min="45" max="46" width="6.5703125" style="1" bestFit="1" customWidth="1"/>
    <col min="47" max="47" width="5.140625" style="1" customWidth="1"/>
    <col min="48" max="48" width="8.85546875" style="1" customWidth="1"/>
    <col min="49" max="49" width="8" style="1" customWidth="1"/>
    <col min="50" max="50" width="5.42578125" style="1" customWidth="1"/>
    <col min="51" max="52" width="6.7109375" style="1" customWidth="1"/>
    <col min="53" max="53" width="5.42578125" style="1" customWidth="1"/>
    <col min="54" max="55" width="8" style="1" customWidth="1"/>
    <col min="56" max="56" width="6.140625" style="1" customWidth="1"/>
    <col min="57" max="58" width="8" style="1" bestFit="1" customWidth="1"/>
    <col min="59" max="59" width="7.140625" style="1" bestFit="1" customWidth="1"/>
    <col min="60" max="60" width="6.140625" style="1" customWidth="1"/>
    <col min="61" max="62" width="6.5703125" style="1" bestFit="1" customWidth="1"/>
    <col min="63" max="64" width="8" style="1" customWidth="1"/>
    <col min="65" max="65" width="1.42578125" style="1" customWidth="1"/>
    <col min="66" max="67" width="8.7109375" style="1" customWidth="1"/>
    <col min="68" max="68" width="8.85546875" style="1" customWidth="1"/>
    <col min="69" max="16384" width="8.85546875" style="1"/>
  </cols>
  <sheetData>
    <row r="1" spans="1:62" ht="14.85" customHeight="1" thickBot="1" x14ac:dyDescent="0.3">
      <c r="A1" s="184" t="s">
        <v>90</v>
      </c>
      <c r="C1" s="171" t="s">
        <v>0</v>
      </c>
      <c r="D1" s="163">
        <v>7.7499999999999999E-2</v>
      </c>
      <c r="E1" s="38"/>
      <c r="F1" s="38"/>
      <c r="G1" s="91">
        <v>9.1999999999999998E-2</v>
      </c>
      <c r="H1" s="170" t="s">
        <v>1</v>
      </c>
      <c r="M1" s="91">
        <v>0.1</v>
      </c>
      <c r="X1" s="91">
        <v>0.5</v>
      </c>
      <c r="AL1" s="91">
        <v>0.1</v>
      </c>
      <c r="AM1" s="220"/>
      <c r="AN1" s="220"/>
    </row>
    <row r="2" spans="1:62" ht="45" customHeight="1" x14ac:dyDescent="0.25">
      <c r="B2" s="39"/>
      <c r="C2" s="217" t="s">
        <v>2</v>
      </c>
      <c r="D2" s="217"/>
      <c r="E2" s="90"/>
      <c r="F2" s="218" t="s">
        <v>3</v>
      </c>
      <c r="G2" s="218"/>
      <c r="H2" s="52"/>
      <c r="I2" s="212" t="s">
        <v>4</v>
      </c>
      <c r="J2" s="212"/>
      <c r="K2" s="52"/>
      <c r="L2" s="219" t="s">
        <v>5</v>
      </c>
      <c r="M2" s="219"/>
      <c r="N2" s="52"/>
      <c r="O2" s="219" t="s">
        <v>6</v>
      </c>
      <c r="P2" s="219"/>
      <c r="Q2" s="52"/>
      <c r="R2" s="219" t="s">
        <v>7</v>
      </c>
      <c r="S2" s="219"/>
      <c r="T2" s="52"/>
      <c r="U2" s="214" t="s">
        <v>8</v>
      </c>
      <c r="V2" s="214"/>
      <c r="W2" s="52"/>
      <c r="X2" s="211" t="s">
        <v>9</v>
      </c>
      <c r="Y2" s="211"/>
      <c r="AA2" s="215" t="s">
        <v>10</v>
      </c>
      <c r="AB2" s="215"/>
      <c r="AD2" s="211" t="s">
        <v>11</v>
      </c>
      <c r="AE2" s="211"/>
      <c r="AG2" s="211" t="s">
        <v>12</v>
      </c>
      <c r="AH2" s="211"/>
      <c r="AJ2" s="211" t="s">
        <v>13</v>
      </c>
      <c r="AK2" s="211"/>
      <c r="AM2" s="211" t="s">
        <v>14</v>
      </c>
      <c r="AN2" s="211"/>
      <c r="AP2" s="212" t="s">
        <v>15</v>
      </c>
      <c r="AQ2" s="212"/>
      <c r="AS2" s="219" t="s">
        <v>16</v>
      </c>
      <c r="AT2" s="219"/>
      <c r="AV2" s="213" t="s">
        <v>17</v>
      </c>
      <c r="AW2" s="213"/>
      <c r="AY2" s="213" t="s">
        <v>18</v>
      </c>
      <c r="AZ2" s="213"/>
      <c r="BB2" s="213" t="s">
        <v>19</v>
      </c>
      <c r="BC2" s="213"/>
    </row>
    <row r="3" spans="1:62" s="34" customFormat="1" x14ac:dyDescent="0.25">
      <c r="C3" s="54" t="s">
        <v>20</v>
      </c>
      <c r="D3" s="54" t="s">
        <v>21</v>
      </c>
      <c r="E3" s="54"/>
      <c r="F3" s="34" t="s">
        <v>20</v>
      </c>
      <c r="G3" s="54" t="s">
        <v>21</v>
      </c>
      <c r="I3" s="34" t="s">
        <v>20</v>
      </c>
      <c r="J3" s="54" t="s">
        <v>21</v>
      </c>
      <c r="L3" s="34" t="s">
        <v>20</v>
      </c>
      <c r="M3" s="54" t="s">
        <v>21</v>
      </c>
      <c r="O3" s="34" t="s">
        <v>20</v>
      </c>
      <c r="P3" s="54" t="s">
        <v>21</v>
      </c>
      <c r="R3" s="34" t="s">
        <v>20</v>
      </c>
      <c r="S3" s="54" t="s">
        <v>21</v>
      </c>
      <c r="U3" s="34" t="s">
        <v>20</v>
      </c>
      <c r="V3" s="34" t="s">
        <v>21</v>
      </c>
      <c r="X3" s="34" t="s">
        <v>20</v>
      </c>
      <c r="Y3" s="34" t="s">
        <v>21</v>
      </c>
      <c r="AA3" s="34" t="s">
        <v>20</v>
      </c>
      <c r="AB3" s="34" t="s">
        <v>21</v>
      </c>
      <c r="AD3" s="34" t="s">
        <v>20</v>
      </c>
      <c r="AE3" s="34" t="s">
        <v>21</v>
      </c>
      <c r="AG3" s="34" t="s">
        <v>20</v>
      </c>
      <c r="AH3" s="34" t="s">
        <v>21</v>
      </c>
      <c r="AJ3" s="34" t="s">
        <v>20</v>
      </c>
      <c r="AK3" s="34" t="s">
        <v>21</v>
      </c>
      <c r="AM3" s="34" t="s">
        <v>20</v>
      </c>
      <c r="AN3" s="34" t="s">
        <v>21</v>
      </c>
      <c r="AP3" s="34" t="s">
        <v>20</v>
      </c>
      <c r="AQ3" s="34" t="s">
        <v>21</v>
      </c>
      <c r="AS3" s="34" t="s">
        <v>20</v>
      </c>
      <c r="AT3" s="34" t="s">
        <v>21</v>
      </c>
      <c r="AV3" s="34" t="s">
        <v>20</v>
      </c>
      <c r="AW3" s="54" t="s">
        <v>21</v>
      </c>
      <c r="AY3" s="34" t="s">
        <v>20</v>
      </c>
      <c r="AZ3" s="54" t="s">
        <v>21</v>
      </c>
      <c r="BB3" s="34" t="s">
        <v>20</v>
      </c>
      <c r="BC3" s="54" t="s">
        <v>21</v>
      </c>
    </row>
    <row r="4" spans="1:62" x14ac:dyDescent="0.25">
      <c r="B4" s="32" t="s">
        <v>22</v>
      </c>
      <c r="C4" s="40"/>
      <c r="D4" s="40"/>
      <c r="E4" s="40"/>
      <c r="F4" s="40"/>
      <c r="L4" s="39"/>
      <c r="M4" s="41"/>
      <c r="AA4" s="39"/>
      <c r="AB4" s="39"/>
    </row>
    <row r="5" spans="1:62" x14ac:dyDescent="0.25">
      <c r="B5" s="25" t="s">
        <v>23</v>
      </c>
      <c r="C5" s="149">
        <v>7.47</v>
      </c>
      <c r="D5" s="149">
        <v>11.42</v>
      </c>
      <c r="E5" s="41"/>
      <c r="F5" s="41">
        <f t="shared" ref="F5:G9" si="0">C5*SUM(1+$G$1/$X$1)</f>
        <v>8.844479999999999</v>
      </c>
      <c r="G5" s="41">
        <f t="shared" si="0"/>
        <v>13.521279999999999</v>
      </c>
      <c r="H5" s="82"/>
      <c r="I5" s="41">
        <f>F5-C5</f>
        <v>1.3744799999999993</v>
      </c>
      <c r="J5" s="41">
        <f>G5-D5</f>
        <v>2.1012799999999991</v>
      </c>
      <c r="K5" s="82"/>
      <c r="L5" s="41">
        <f>ROUND(C5*(1+$G$1*2),2)*SUM(1+$M$1)</f>
        <v>9.7240000000000002</v>
      </c>
      <c r="M5" s="41">
        <f t="shared" ref="L5:M9" si="1">ROUND(D5*(1+$G$1*2),2)*SUM(1+$M$1)</f>
        <v>14.872</v>
      </c>
      <c r="N5" s="82"/>
      <c r="O5" s="41">
        <f>L5-C5</f>
        <v>2.2540000000000004</v>
      </c>
      <c r="P5" s="41">
        <f>M5-D5</f>
        <v>3.452</v>
      </c>
      <c r="Q5" s="82"/>
      <c r="R5" s="76">
        <f t="shared" ref="R5:S9" si="2">AJ5/F5</f>
        <v>9.9497087448894683E-2</v>
      </c>
      <c r="S5" s="76">
        <f t="shared" si="2"/>
        <v>9.9842618450324244E-2</v>
      </c>
      <c r="T5" s="82"/>
      <c r="U5" s="41">
        <f t="shared" ref="U5:V9" si="3">SUM(C5/(1-$X$1))</f>
        <v>14.94</v>
      </c>
      <c r="V5" s="41">
        <f t="shared" si="3"/>
        <v>22.84</v>
      </c>
      <c r="W5" s="82"/>
      <c r="X5" s="41">
        <f>ROUND(C5/(1-$X$1)*1.2,2)</f>
        <v>17.93</v>
      </c>
      <c r="Y5" s="41">
        <f>ROUND(D5/(1-$X$1)*1.2,2)</f>
        <v>27.41</v>
      </c>
      <c r="AA5" s="182">
        <f>ROUNDDOWN(C5/(1-$X$1)*1.2,1)</f>
        <v>17.899999999999999</v>
      </c>
      <c r="AB5" s="182">
        <f>ROUNDDOWN(D5/(1-$X$1)*1.2,1)</f>
        <v>27.4</v>
      </c>
      <c r="AD5" s="40">
        <f>AA5/1.2</f>
        <v>14.916666666666666</v>
      </c>
      <c r="AE5" s="40">
        <f>AB5/1.2</f>
        <v>22.833333333333332</v>
      </c>
      <c r="AG5" s="40">
        <f>X5-AA5</f>
        <v>3.0000000000001137E-2</v>
      </c>
      <c r="AH5" s="40">
        <f>Y5-AB5</f>
        <v>1.0000000000001563E-2</v>
      </c>
      <c r="AJ5" s="40">
        <f t="shared" ref="AJ5:AK9" si="4">ROUND(L5*(1-(1/(1+$AL$1))),2)</f>
        <v>0.88</v>
      </c>
      <c r="AK5" s="40">
        <f t="shared" si="4"/>
        <v>1.35</v>
      </c>
      <c r="AL5" s="40"/>
      <c r="AM5" s="180">
        <f>SUM(U5-F5)-AG5</f>
        <v>6.0655199999999994</v>
      </c>
      <c r="AN5" s="180">
        <f>SUM(V5-G5)-AH5</f>
        <v>9.3087199999999992</v>
      </c>
      <c r="AP5" s="76">
        <f t="shared" ref="AP5:AQ9" si="5">(SUM(F5-C5)/C5)*$X$1</f>
        <v>9.1999999999999957E-2</v>
      </c>
      <c r="AQ5" s="76">
        <f t="shared" si="5"/>
        <v>9.1999999999999957E-2</v>
      </c>
      <c r="AS5" s="76">
        <f t="shared" ref="AS5:AT9" si="6">AM5/U5</f>
        <v>0.40599196787148589</v>
      </c>
      <c r="AT5" s="76">
        <f t="shared" si="6"/>
        <v>0.40756217162872149</v>
      </c>
      <c r="AU5" s="40"/>
      <c r="AV5" s="76">
        <f t="shared" ref="AV5:AW9" si="7">C5/U5</f>
        <v>0.5</v>
      </c>
      <c r="AW5" s="76">
        <f t="shared" si="7"/>
        <v>0.5</v>
      </c>
      <c r="AX5" s="42"/>
      <c r="AY5" s="42">
        <f t="shared" ref="AY5:AZ9" si="8">I5+AM5</f>
        <v>7.4399999999999986</v>
      </c>
      <c r="AZ5" s="42">
        <f t="shared" si="8"/>
        <v>11.409999999999998</v>
      </c>
      <c r="BA5" s="42"/>
      <c r="BB5" s="76">
        <f t="shared" ref="BB5:BC9" si="9">AY5/(C5/$X$1)</f>
        <v>0.49799196787148586</v>
      </c>
      <c r="BC5" s="76">
        <f t="shared" si="9"/>
        <v>0.49956217162872146</v>
      </c>
      <c r="BE5" s="40"/>
      <c r="BF5" s="40"/>
      <c r="BG5" s="40"/>
      <c r="BH5" s="40"/>
      <c r="BI5" s="76"/>
      <c r="BJ5" s="76"/>
    </row>
    <row r="6" spans="1:62" x14ac:dyDescent="0.25">
      <c r="B6" s="25" t="s">
        <v>24</v>
      </c>
      <c r="C6" s="149">
        <v>7.85</v>
      </c>
      <c r="D6" s="149">
        <v>12</v>
      </c>
      <c r="E6" s="41"/>
      <c r="F6" s="41">
        <f t="shared" si="0"/>
        <v>9.2943999999999996</v>
      </c>
      <c r="G6" s="41">
        <f t="shared" si="0"/>
        <v>14.207999999999998</v>
      </c>
      <c r="H6" s="82"/>
      <c r="I6" s="41">
        <f t="shared" ref="I6:J9" si="10">F6-C6</f>
        <v>1.4443999999999999</v>
      </c>
      <c r="J6" s="41">
        <f t="shared" si="10"/>
        <v>2.2079999999999984</v>
      </c>
      <c r="K6" s="82"/>
      <c r="L6" s="41">
        <f t="shared" si="1"/>
        <v>10.218999999999999</v>
      </c>
      <c r="M6" s="41">
        <f t="shared" si="1"/>
        <v>15.631000000000002</v>
      </c>
      <c r="N6" s="82"/>
      <c r="O6" s="41">
        <f t="shared" ref="O6:P9" si="11">L6-C6</f>
        <v>2.3689999999999998</v>
      </c>
      <c r="P6" s="41">
        <f t="shared" si="11"/>
        <v>3.631000000000002</v>
      </c>
      <c r="Q6" s="82"/>
      <c r="R6" s="76">
        <f t="shared" si="2"/>
        <v>0.10006025133413669</v>
      </c>
      <c r="S6" s="76">
        <f t="shared" si="2"/>
        <v>9.99436936936937E-2</v>
      </c>
      <c r="T6" s="82"/>
      <c r="U6" s="41">
        <f t="shared" si="3"/>
        <v>15.7</v>
      </c>
      <c r="V6" s="41">
        <f t="shared" si="3"/>
        <v>24</v>
      </c>
      <c r="W6" s="82"/>
      <c r="X6" s="41">
        <f t="shared" ref="X6:Y9" si="12">ROUND(C6/(1-$X$1)*1.2,2)</f>
        <v>18.84</v>
      </c>
      <c r="Y6" s="41">
        <f t="shared" si="12"/>
        <v>28.8</v>
      </c>
      <c r="AA6" s="182">
        <f t="shared" ref="AA6:AB9" si="13">ROUNDDOWN(C6/(1-$X$1)*1.2,1)</f>
        <v>18.8</v>
      </c>
      <c r="AB6" s="182">
        <f t="shared" si="13"/>
        <v>28.8</v>
      </c>
      <c r="AD6" s="40">
        <f t="shared" ref="AD6:AE9" si="14">AA6/1.2</f>
        <v>15.666666666666668</v>
      </c>
      <c r="AE6" s="40">
        <f t="shared" si="14"/>
        <v>24</v>
      </c>
      <c r="AG6" s="40">
        <f t="shared" ref="AG6:AH9" si="15">X6-AA6</f>
        <v>3.9999999999999147E-2</v>
      </c>
      <c r="AH6" s="40">
        <f t="shared" si="15"/>
        <v>0</v>
      </c>
      <c r="AJ6" s="40">
        <f t="shared" si="4"/>
        <v>0.93</v>
      </c>
      <c r="AK6" s="40">
        <f t="shared" si="4"/>
        <v>1.42</v>
      </c>
      <c r="AL6" s="40"/>
      <c r="AM6" s="180">
        <f t="shared" ref="AM6:AM9" si="16">SUM(U6-F6)-AG6</f>
        <v>6.3656000000000006</v>
      </c>
      <c r="AN6" s="180">
        <f t="shared" ref="AN6:AN9" si="17">SUM(V6-G6)-AH6</f>
        <v>9.7920000000000016</v>
      </c>
      <c r="AP6" s="76">
        <f t="shared" si="5"/>
        <v>9.1999999999999998E-2</v>
      </c>
      <c r="AQ6" s="76">
        <f t="shared" si="5"/>
        <v>9.1999999999999929E-2</v>
      </c>
      <c r="AS6" s="76">
        <f t="shared" si="6"/>
        <v>0.40545222929936309</v>
      </c>
      <c r="AT6" s="76">
        <f t="shared" si="6"/>
        <v>0.40800000000000008</v>
      </c>
      <c r="AV6" s="76">
        <f t="shared" si="7"/>
        <v>0.5</v>
      </c>
      <c r="AW6" s="76">
        <f t="shared" si="7"/>
        <v>0.5</v>
      </c>
      <c r="AX6" s="42"/>
      <c r="AY6" s="42">
        <f t="shared" si="8"/>
        <v>7.8100000000000005</v>
      </c>
      <c r="AZ6" s="42">
        <f t="shared" si="8"/>
        <v>12</v>
      </c>
      <c r="BA6" s="42"/>
      <c r="BB6" s="76">
        <f t="shared" si="9"/>
        <v>0.49745222929936311</v>
      </c>
      <c r="BC6" s="76">
        <f t="shared" si="9"/>
        <v>0.5</v>
      </c>
      <c r="BF6" s="40"/>
      <c r="BG6" s="40"/>
      <c r="BI6" s="76"/>
      <c r="BJ6" s="76"/>
    </row>
    <row r="7" spans="1:62" x14ac:dyDescent="0.25">
      <c r="B7" s="25" t="s">
        <v>25</v>
      </c>
      <c r="C7" s="149">
        <v>8.66</v>
      </c>
      <c r="D7" s="149">
        <v>13.25</v>
      </c>
      <c r="E7" s="41"/>
      <c r="F7" s="41">
        <f t="shared" si="0"/>
        <v>10.253439999999999</v>
      </c>
      <c r="G7" s="41">
        <f t="shared" si="0"/>
        <v>15.687999999999999</v>
      </c>
      <c r="H7" s="82"/>
      <c r="I7" s="41">
        <f t="shared" si="10"/>
        <v>1.5934399999999993</v>
      </c>
      <c r="J7" s="41">
        <f t="shared" si="10"/>
        <v>2.4379999999999988</v>
      </c>
      <c r="K7" s="82"/>
      <c r="L7" s="41">
        <f t="shared" si="1"/>
        <v>11.275</v>
      </c>
      <c r="M7" s="41">
        <f t="shared" si="1"/>
        <v>17.259</v>
      </c>
      <c r="N7" s="82"/>
      <c r="O7" s="41">
        <f t="shared" si="11"/>
        <v>2.6150000000000002</v>
      </c>
      <c r="P7" s="41">
        <f t="shared" si="11"/>
        <v>4.0090000000000003</v>
      </c>
      <c r="Q7" s="82"/>
      <c r="R7" s="76">
        <f t="shared" si="2"/>
        <v>0.10045409150489983</v>
      </c>
      <c r="S7" s="76">
        <f t="shared" si="2"/>
        <v>0.10007649158592556</v>
      </c>
      <c r="T7" s="82"/>
      <c r="U7" s="41">
        <f t="shared" si="3"/>
        <v>17.32</v>
      </c>
      <c r="V7" s="41">
        <f t="shared" si="3"/>
        <v>26.5</v>
      </c>
      <c r="W7" s="82"/>
      <c r="X7" s="41">
        <f t="shared" si="12"/>
        <v>20.78</v>
      </c>
      <c r="Y7" s="41">
        <f t="shared" si="12"/>
        <v>31.8</v>
      </c>
      <c r="AA7" s="182">
        <f t="shared" si="13"/>
        <v>20.7</v>
      </c>
      <c r="AB7" s="182">
        <f t="shared" si="13"/>
        <v>31.8</v>
      </c>
      <c r="AD7" s="40">
        <f t="shared" si="14"/>
        <v>17.25</v>
      </c>
      <c r="AE7" s="40">
        <f t="shared" si="14"/>
        <v>26.5</v>
      </c>
      <c r="AG7" s="40">
        <f t="shared" si="15"/>
        <v>8.0000000000001847E-2</v>
      </c>
      <c r="AH7" s="40">
        <f t="shared" si="15"/>
        <v>0</v>
      </c>
      <c r="AJ7" s="40">
        <f t="shared" si="4"/>
        <v>1.03</v>
      </c>
      <c r="AK7" s="40">
        <f t="shared" si="4"/>
        <v>1.57</v>
      </c>
      <c r="AL7" s="40"/>
      <c r="AM7" s="180">
        <f t="shared" si="16"/>
        <v>6.986559999999999</v>
      </c>
      <c r="AN7" s="180">
        <f t="shared" si="17"/>
        <v>10.812000000000001</v>
      </c>
      <c r="AP7" s="76">
        <f t="shared" si="5"/>
        <v>9.1999999999999957E-2</v>
      </c>
      <c r="AQ7" s="76">
        <f t="shared" si="5"/>
        <v>9.1999999999999957E-2</v>
      </c>
      <c r="AS7" s="76">
        <f t="shared" si="6"/>
        <v>0.40338106235565813</v>
      </c>
      <c r="AT7" s="76">
        <f t="shared" si="6"/>
        <v>0.40800000000000003</v>
      </c>
      <c r="AV7" s="76">
        <f t="shared" si="7"/>
        <v>0.5</v>
      </c>
      <c r="AW7" s="76">
        <f t="shared" si="7"/>
        <v>0.5</v>
      </c>
      <c r="AX7" s="42"/>
      <c r="AY7" s="42">
        <f t="shared" si="8"/>
        <v>8.5799999999999983</v>
      </c>
      <c r="AZ7" s="42">
        <f t="shared" si="8"/>
        <v>13.25</v>
      </c>
      <c r="BA7" s="42"/>
      <c r="BB7" s="76">
        <f t="shared" si="9"/>
        <v>0.4953810623556581</v>
      </c>
      <c r="BC7" s="76">
        <f t="shared" si="9"/>
        <v>0.5</v>
      </c>
      <c r="BF7" s="40"/>
      <c r="BG7" s="40"/>
      <c r="BI7" s="76"/>
      <c r="BJ7" s="76"/>
    </row>
    <row r="8" spans="1:62" x14ac:dyDescent="0.25">
      <c r="B8" s="25" t="s">
        <v>26</v>
      </c>
      <c r="C8" s="149">
        <v>9.56</v>
      </c>
      <c r="D8" s="149">
        <v>14.59</v>
      </c>
      <c r="E8" s="41"/>
      <c r="F8" s="41">
        <f t="shared" si="0"/>
        <v>11.319039999999999</v>
      </c>
      <c r="G8" s="41">
        <f t="shared" si="0"/>
        <v>17.274559999999997</v>
      </c>
      <c r="H8" s="82"/>
      <c r="I8" s="41">
        <f t="shared" si="10"/>
        <v>1.7590399999999988</v>
      </c>
      <c r="J8" s="41">
        <f t="shared" si="10"/>
        <v>2.6845599999999976</v>
      </c>
      <c r="K8" s="82"/>
      <c r="L8" s="41">
        <f t="shared" si="1"/>
        <v>12.452000000000002</v>
      </c>
      <c r="M8" s="41">
        <f t="shared" si="1"/>
        <v>18.997</v>
      </c>
      <c r="N8" s="82"/>
      <c r="O8" s="41">
        <f t="shared" si="11"/>
        <v>2.8920000000000012</v>
      </c>
      <c r="P8" s="41">
        <f t="shared" si="11"/>
        <v>4.407</v>
      </c>
      <c r="Q8" s="82"/>
      <c r="R8" s="76">
        <f t="shared" si="2"/>
        <v>9.9831787854800402E-2</v>
      </c>
      <c r="S8" s="76">
        <f t="shared" si="2"/>
        <v>0.10014726858455442</v>
      </c>
      <c r="T8" s="82"/>
      <c r="U8" s="41">
        <f t="shared" si="3"/>
        <v>19.12</v>
      </c>
      <c r="V8" s="41">
        <f t="shared" si="3"/>
        <v>29.18</v>
      </c>
      <c r="W8" s="82"/>
      <c r="X8" s="41">
        <f t="shared" si="12"/>
        <v>22.94</v>
      </c>
      <c r="Y8" s="41">
        <f t="shared" si="12"/>
        <v>35.020000000000003</v>
      </c>
      <c r="AA8" s="182">
        <f t="shared" si="13"/>
        <v>22.9</v>
      </c>
      <c r="AB8" s="182">
        <f t="shared" si="13"/>
        <v>35</v>
      </c>
      <c r="AD8" s="40">
        <f t="shared" si="14"/>
        <v>19.083333333333332</v>
      </c>
      <c r="AE8" s="40">
        <f t="shared" si="14"/>
        <v>29.166666666666668</v>
      </c>
      <c r="AG8" s="40">
        <f t="shared" si="15"/>
        <v>4.00000000000027E-2</v>
      </c>
      <c r="AH8" s="40">
        <f t="shared" si="15"/>
        <v>2.0000000000003126E-2</v>
      </c>
      <c r="AJ8" s="40">
        <f t="shared" si="4"/>
        <v>1.1299999999999999</v>
      </c>
      <c r="AK8" s="40">
        <f t="shared" si="4"/>
        <v>1.73</v>
      </c>
      <c r="AL8" s="40"/>
      <c r="AM8" s="180">
        <f t="shared" si="16"/>
        <v>7.760959999999999</v>
      </c>
      <c r="AN8" s="180">
        <f t="shared" si="17"/>
        <v>11.885439999999999</v>
      </c>
      <c r="AP8" s="76">
        <f t="shared" si="5"/>
        <v>9.1999999999999929E-2</v>
      </c>
      <c r="AQ8" s="76">
        <f t="shared" si="5"/>
        <v>9.1999999999999915E-2</v>
      </c>
      <c r="AS8" s="76">
        <f t="shared" si="6"/>
        <v>0.40590794979079492</v>
      </c>
      <c r="AT8" s="76">
        <f t="shared" si="6"/>
        <v>0.40731459904043865</v>
      </c>
      <c r="AV8" s="76">
        <f t="shared" si="7"/>
        <v>0.5</v>
      </c>
      <c r="AW8" s="76">
        <f t="shared" si="7"/>
        <v>0.5</v>
      </c>
      <c r="AX8" s="42"/>
      <c r="AY8" s="42">
        <f t="shared" si="8"/>
        <v>9.5199999999999978</v>
      </c>
      <c r="AZ8" s="42">
        <f t="shared" si="8"/>
        <v>14.569999999999997</v>
      </c>
      <c r="BA8" s="42"/>
      <c r="BB8" s="76">
        <f t="shared" si="9"/>
        <v>0.49790794979079483</v>
      </c>
      <c r="BC8" s="76">
        <f t="shared" si="9"/>
        <v>0.49931459904043857</v>
      </c>
      <c r="BF8" s="40"/>
      <c r="BG8" s="40"/>
      <c r="BI8" s="76"/>
      <c r="BJ8" s="76"/>
    </row>
    <row r="9" spans="1:62" x14ac:dyDescent="0.25">
      <c r="B9" s="25" t="s">
        <v>27</v>
      </c>
      <c r="C9" s="149">
        <v>9.58</v>
      </c>
      <c r="D9" s="149">
        <v>14.6</v>
      </c>
      <c r="E9" s="41"/>
      <c r="F9" s="41">
        <f t="shared" si="0"/>
        <v>11.34272</v>
      </c>
      <c r="G9" s="41">
        <f t="shared" si="0"/>
        <v>17.2864</v>
      </c>
      <c r="H9" s="82"/>
      <c r="I9" s="41">
        <f t="shared" si="10"/>
        <v>1.7627199999999998</v>
      </c>
      <c r="J9" s="41">
        <f t="shared" si="10"/>
        <v>2.6864000000000008</v>
      </c>
      <c r="K9" s="82"/>
      <c r="L9" s="41">
        <f t="shared" si="1"/>
        <v>12.474</v>
      </c>
      <c r="M9" s="41">
        <f t="shared" si="1"/>
        <v>19.019000000000002</v>
      </c>
      <c r="N9" s="82"/>
      <c r="O9" s="41">
        <f t="shared" si="11"/>
        <v>2.8940000000000001</v>
      </c>
      <c r="P9" s="41">
        <f t="shared" si="11"/>
        <v>4.4190000000000023</v>
      </c>
      <c r="Q9" s="82"/>
      <c r="R9" s="76">
        <f t="shared" si="2"/>
        <v>9.9623370761157806E-2</v>
      </c>
      <c r="S9" s="76">
        <f t="shared" si="2"/>
        <v>0.10007867456497593</v>
      </c>
      <c r="T9" s="82"/>
      <c r="U9" s="41">
        <f t="shared" si="3"/>
        <v>19.16</v>
      </c>
      <c r="V9" s="41">
        <f t="shared" si="3"/>
        <v>29.2</v>
      </c>
      <c r="W9" s="82"/>
      <c r="X9" s="41">
        <f t="shared" si="12"/>
        <v>22.99</v>
      </c>
      <c r="Y9" s="41">
        <f t="shared" si="12"/>
        <v>35.04</v>
      </c>
      <c r="AA9" s="182">
        <f t="shared" si="13"/>
        <v>22.9</v>
      </c>
      <c r="AB9" s="182">
        <f t="shared" si="13"/>
        <v>35</v>
      </c>
      <c r="AD9" s="40">
        <f t="shared" si="14"/>
        <v>19.083333333333332</v>
      </c>
      <c r="AE9" s="40">
        <f t="shared" si="14"/>
        <v>29.166666666666668</v>
      </c>
      <c r="AG9" s="40">
        <f t="shared" si="15"/>
        <v>8.9999999999999858E-2</v>
      </c>
      <c r="AH9" s="40">
        <f t="shared" si="15"/>
        <v>3.9999999999999147E-2</v>
      </c>
      <c r="AJ9" s="40">
        <f t="shared" si="4"/>
        <v>1.1299999999999999</v>
      </c>
      <c r="AK9" s="40">
        <f t="shared" si="4"/>
        <v>1.73</v>
      </c>
      <c r="AL9" s="40"/>
      <c r="AM9" s="180">
        <f t="shared" si="16"/>
        <v>7.7272800000000004</v>
      </c>
      <c r="AN9" s="180">
        <f t="shared" si="17"/>
        <v>11.8736</v>
      </c>
      <c r="AP9" s="76">
        <f t="shared" si="5"/>
        <v>9.1999999999999985E-2</v>
      </c>
      <c r="AQ9" s="76">
        <f t="shared" si="5"/>
        <v>9.2000000000000026E-2</v>
      </c>
      <c r="AS9" s="76">
        <f t="shared" si="6"/>
        <v>0.40330271398747392</v>
      </c>
      <c r="AT9" s="76">
        <f t="shared" si="6"/>
        <v>0.40663013698630135</v>
      </c>
      <c r="AV9" s="76">
        <f t="shared" si="7"/>
        <v>0.5</v>
      </c>
      <c r="AW9" s="76">
        <f t="shared" si="7"/>
        <v>0.5</v>
      </c>
      <c r="AX9" s="42"/>
      <c r="AY9" s="42">
        <f t="shared" si="8"/>
        <v>9.49</v>
      </c>
      <c r="AZ9" s="42">
        <f t="shared" si="8"/>
        <v>14.56</v>
      </c>
      <c r="BA9" s="42"/>
      <c r="BB9" s="76">
        <f t="shared" si="9"/>
        <v>0.49530271398747389</v>
      </c>
      <c r="BC9" s="76">
        <f t="shared" si="9"/>
        <v>0.49863013698630138</v>
      </c>
      <c r="BF9" s="40"/>
      <c r="BG9" s="40"/>
      <c r="BI9" s="76"/>
      <c r="BJ9" s="76"/>
    </row>
    <row r="10" spans="1:62" x14ac:dyDescent="0.25">
      <c r="B10" s="25"/>
      <c r="C10" s="41"/>
      <c r="D10" s="41"/>
      <c r="E10" s="41"/>
      <c r="F10" s="41"/>
      <c r="G10" s="41"/>
      <c r="H10" s="4"/>
      <c r="I10" s="4"/>
      <c r="J10" s="4"/>
      <c r="K10" s="4"/>
      <c r="L10" s="41"/>
      <c r="M10" s="41"/>
      <c r="N10" s="4"/>
      <c r="O10" s="4"/>
      <c r="P10" s="4"/>
      <c r="Q10" s="4"/>
      <c r="R10" s="78"/>
      <c r="T10" s="4"/>
      <c r="U10" s="4"/>
      <c r="V10" s="4"/>
      <c r="W10" s="4"/>
      <c r="AJ10" s="40"/>
      <c r="AK10" s="40"/>
      <c r="AL10" s="40"/>
      <c r="AS10" s="103"/>
      <c r="AT10" s="103"/>
      <c r="AV10" s="40"/>
      <c r="AW10" s="40"/>
      <c r="BB10" s="77"/>
      <c r="BC10" s="77"/>
    </row>
    <row r="11" spans="1:62" x14ac:dyDescent="0.25">
      <c r="B11" s="32" t="s">
        <v>28</v>
      </c>
      <c r="C11" s="41"/>
      <c r="D11" s="41"/>
      <c r="E11" s="41"/>
      <c r="F11" s="41"/>
      <c r="G11" s="41"/>
      <c r="H11" s="4"/>
      <c r="I11" s="4"/>
      <c r="J11" s="4"/>
      <c r="K11" s="4"/>
      <c r="L11" s="41"/>
      <c r="M11" s="41"/>
      <c r="N11" s="4"/>
      <c r="O11" s="4"/>
      <c r="P11" s="4"/>
      <c r="Q11" s="4"/>
      <c r="R11" s="78"/>
      <c r="T11" s="4"/>
      <c r="U11" s="4"/>
      <c r="V11" s="4"/>
      <c r="W11" s="4"/>
      <c r="AJ11" s="40"/>
      <c r="AK11" s="40"/>
      <c r="AL11" s="40"/>
      <c r="AS11" s="103"/>
      <c r="AT11" s="103"/>
      <c r="AV11" s="40"/>
      <c r="AW11" s="40"/>
      <c r="BB11" s="77"/>
      <c r="BC11" s="77"/>
    </row>
    <row r="12" spans="1:62" x14ac:dyDescent="0.25">
      <c r="B12" s="25" t="s">
        <v>23</v>
      </c>
      <c r="C12" s="149">
        <v>9.44</v>
      </c>
      <c r="D12" s="149">
        <v>15.56</v>
      </c>
      <c r="E12" s="41"/>
      <c r="F12" s="41">
        <f t="shared" ref="F12:G17" si="18">C12*SUM(1+$G$1/$X$1)</f>
        <v>11.176959999999999</v>
      </c>
      <c r="G12" s="41">
        <f t="shared" si="18"/>
        <v>18.42304</v>
      </c>
      <c r="H12" s="82"/>
      <c r="I12" s="41">
        <f t="shared" ref="I12:J17" si="19">F12-C12</f>
        <v>1.7369599999999998</v>
      </c>
      <c r="J12" s="41">
        <f t="shared" si="19"/>
        <v>2.8630399999999998</v>
      </c>
      <c r="K12" s="82"/>
      <c r="L12" s="41">
        <f t="shared" ref="L12:M17" si="20">ROUND(C12*(1+$G$1*2),2)*SUM(1+$M$1)</f>
        <v>12.298</v>
      </c>
      <c r="M12" s="41">
        <f t="shared" si="20"/>
        <v>20.262000000000004</v>
      </c>
      <c r="N12" s="82"/>
      <c r="O12" s="41">
        <f t="shared" ref="O12:P17" si="21">L12-C12</f>
        <v>2.8580000000000005</v>
      </c>
      <c r="P12" s="41">
        <f t="shared" si="21"/>
        <v>4.7020000000000035</v>
      </c>
      <c r="Q12" s="82"/>
      <c r="R12" s="76">
        <f t="shared" ref="R12:S17" si="22">AJ12/F12</f>
        <v>0.10020613834173157</v>
      </c>
      <c r="S12" s="76">
        <f t="shared" si="22"/>
        <v>9.9874939206558752E-2</v>
      </c>
      <c r="T12" s="82"/>
      <c r="U12" s="41">
        <f t="shared" ref="U12:V17" si="23">SUM(C12/(1-$X$1))</f>
        <v>18.88</v>
      </c>
      <c r="V12" s="41">
        <f t="shared" si="23"/>
        <v>31.12</v>
      </c>
      <c r="W12" s="82"/>
      <c r="X12" s="41">
        <f t="shared" ref="X12:Y17" si="24">ROUND(C12/(1-$X$1)*1.2,2)</f>
        <v>22.66</v>
      </c>
      <c r="Y12" s="41">
        <f t="shared" si="24"/>
        <v>37.340000000000003</v>
      </c>
      <c r="AA12" s="182">
        <f>ROUNDDOWN(C12/(1-$X$1)*1.2,1)</f>
        <v>22.6</v>
      </c>
      <c r="AB12" s="182">
        <f>ROUNDDOWN(D12/(1-$X$1)*1.2,1)</f>
        <v>37.299999999999997</v>
      </c>
      <c r="AD12" s="40">
        <f t="shared" ref="AD12:AE17" si="25">AA12/1.2</f>
        <v>18.833333333333336</v>
      </c>
      <c r="AE12" s="40">
        <f t="shared" si="25"/>
        <v>31.083333333333332</v>
      </c>
      <c r="AG12" s="40">
        <f>X12-AA12</f>
        <v>5.9999999999998721E-2</v>
      </c>
      <c r="AH12" s="40">
        <f>Y12-AB12</f>
        <v>4.0000000000006253E-2</v>
      </c>
      <c r="AJ12" s="40">
        <f t="shared" ref="AJ12:AK17" si="26">ROUND(L12*(1-(1/(1+$AL$1))),2)</f>
        <v>1.1200000000000001</v>
      </c>
      <c r="AK12" s="40">
        <f t="shared" si="26"/>
        <v>1.84</v>
      </c>
      <c r="AL12" s="40"/>
      <c r="AM12" s="180">
        <f>SUM(U12-F12)-AG12</f>
        <v>7.6430400000000009</v>
      </c>
      <c r="AN12" s="180">
        <f>SUM(V12-G12)-AH12</f>
        <v>12.656959999999994</v>
      </c>
      <c r="AP12" s="76">
        <f t="shared" ref="AP12:AQ17" si="27">(SUM(F12-C12)/C12)*$X$1</f>
        <v>9.1999999999999998E-2</v>
      </c>
      <c r="AQ12" s="76">
        <f t="shared" si="27"/>
        <v>9.1999999999999985E-2</v>
      </c>
      <c r="AS12" s="76">
        <f t="shared" ref="AS12:AT17" si="28">AM12/U12</f>
        <v>0.40482203389830518</v>
      </c>
      <c r="AT12" s="76">
        <f t="shared" si="28"/>
        <v>0.406714652956298</v>
      </c>
      <c r="AV12" s="76">
        <f t="shared" ref="AV12:AW17" si="29">C12/U12</f>
        <v>0.5</v>
      </c>
      <c r="AW12" s="76">
        <f t="shared" si="29"/>
        <v>0.5</v>
      </c>
      <c r="AX12" s="42"/>
      <c r="AY12" s="42">
        <f t="shared" ref="AY12:AZ17" si="30">I12+AM12</f>
        <v>9.3800000000000008</v>
      </c>
      <c r="AZ12" s="42">
        <f t="shared" si="30"/>
        <v>15.519999999999994</v>
      </c>
      <c r="BA12" s="42"/>
      <c r="BB12" s="76">
        <f t="shared" ref="BB12:BC17" si="31">AY12/(C12/$X$1)</f>
        <v>0.49682203389830515</v>
      </c>
      <c r="BC12" s="76">
        <f t="shared" si="31"/>
        <v>0.49871465295629802</v>
      </c>
      <c r="BF12" s="40"/>
      <c r="BG12" s="40"/>
    </row>
    <row r="13" spans="1:62" x14ac:dyDescent="0.25">
      <c r="B13" s="25" t="s">
        <v>24</v>
      </c>
      <c r="C13" s="149">
        <v>12.15</v>
      </c>
      <c r="D13" s="149">
        <v>18.61</v>
      </c>
      <c r="E13" s="41"/>
      <c r="F13" s="41">
        <f t="shared" si="18"/>
        <v>14.3856</v>
      </c>
      <c r="G13" s="41">
        <f t="shared" si="18"/>
        <v>22.034239999999997</v>
      </c>
      <c r="H13" s="82"/>
      <c r="I13" s="41">
        <f t="shared" si="19"/>
        <v>2.2355999999999998</v>
      </c>
      <c r="J13" s="41">
        <f t="shared" si="19"/>
        <v>3.4242399999999975</v>
      </c>
      <c r="K13" s="82"/>
      <c r="L13" s="41">
        <f t="shared" si="20"/>
        <v>15.829000000000002</v>
      </c>
      <c r="M13" s="41">
        <f t="shared" si="20"/>
        <v>24.233000000000004</v>
      </c>
      <c r="N13" s="82"/>
      <c r="O13" s="41">
        <f t="shared" si="21"/>
        <v>3.679000000000002</v>
      </c>
      <c r="P13" s="41">
        <f t="shared" si="21"/>
        <v>5.6230000000000047</v>
      </c>
      <c r="Q13" s="82"/>
      <c r="R13" s="76">
        <f t="shared" si="22"/>
        <v>0.10010010010010009</v>
      </c>
      <c r="S13" s="76">
        <f t="shared" si="22"/>
        <v>9.9844605486733393E-2</v>
      </c>
      <c r="T13" s="82"/>
      <c r="U13" s="41">
        <f t="shared" si="23"/>
        <v>24.3</v>
      </c>
      <c r="V13" s="41">
        <f t="shared" si="23"/>
        <v>37.22</v>
      </c>
      <c r="W13" s="82"/>
      <c r="X13" s="41">
        <f t="shared" si="24"/>
        <v>29.16</v>
      </c>
      <c r="Y13" s="41">
        <f t="shared" si="24"/>
        <v>44.66</v>
      </c>
      <c r="AA13" s="182">
        <f t="shared" ref="AA13:AB16" si="32">ROUNDDOWN(C13/(1-$X$1)*1.2,1)</f>
        <v>29.1</v>
      </c>
      <c r="AB13" s="182">
        <f t="shared" si="32"/>
        <v>44.6</v>
      </c>
      <c r="AD13" s="40">
        <f t="shared" si="25"/>
        <v>24.250000000000004</v>
      </c>
      <c r="AE13" s="40">
        <f t="shared" si="25"/>
        <v>37.166666666666671</v>
      </c>
      <c r="AG13" s="40">
        <f t="shared" ref="AG13:AH17" si="33">X13-AA13</f>
        <v>5.9999999999998721E-2</v>
      </c>
      <c r="AH13" s="40">
        <f t="shared" si="33"/>
        <v>5.9999999999995168E-2</v>
      </c>
      <c r="AJ13" s="40">
        <f t="shared" si="26"/>
        <v>1.44</v>
      </c>
      <c r="AK13" s="40">
        <f t="shared" si="26"/>
        <v>2.2000000000000002</v>
      </c>
      <c r="AL13" s="40"/>
      <c r="AM13" s="180">
        <f t="shared" ref="AM13:AM17" si="34">SUM(U13-F13)-AG13</f>
        <v>9.8544000000000018</v>
      </c>
      <c r="AN13" s="180">
        <f t="shared" ref="AN13:AN17" si="35">SUM(V13-G13)-AH13</f>
        <v>15.125760000000007</v>
      </c>
      <c r="AP13" s="76">
        <f t="shared" si="27"/>
        <v>9.1999999999999985E-2</v>
      </c>
      <c r="AQ13" s="76">
        <f t="shared" si="27"/>
        <v>9.1999999999999929E-2</v>
      </c>
      <c r="AS13" s="76">
        <f t="shared" si="28"/>
        <v>0.40553086419753093</v>
      </c>
      <c r="AT13" s="76">
        <f t="shared" si="28"/>
        <v>0.40638796346050532</v>
      </c>
      <c r="AV13" s="76">
        <f t="shared" si="29"/>
        <v>0.5</v>
      </c>
      <c r="AW13" s="76">
        <f t="shared" si="29"/>
        <v>0.5</v>
      </c>
      <c r="AX13" s="42"/>
      <c r="AY13" s="42">
        <f t="shared" si="30"/>
        <v>12.090000000000002</v>
      </c>
      <c r="AZ13" s="42">
        <f t="shared" si="30"/>
        <v>18.550000000000004</v>
      </c>
      <c r="BA13" s="42"/>
      <c r="BB13" s="76">
        <f t="shared" si="31"/>
        <v>0.4975308641975309</v>
      </c>
      <c r="BC13" s="76">
        <f t="shared" si="31"/>
        <v>0.49838796346050523</v>
      </c>
      <c r="BF13" s="40"/>
      <c r="BG13" s="40"/>
    </row>
    <row r="14" spans="1:62" x14ac:dyDescent="0.25">
      <c r="B14" s="25" t="s">
        <v>25</v>
      </c>
      <c r="C14" s="149">
        <v>14.3</v>
      </c>
      <c r="D14" s="149">
        <v>20.88</v>
      </c>
      <c r="E14" s="41"/>
      <c r="F14" s="41">
        <f t="shared" si="18"/>
        <v>16.9312</v>
      </c>
      <c r="G14" s="41">
        <f t="shared" si="18"/>
        <v>24.721919999999997</v>
      </c>
      <c r="H14" s="82"/>
      <c r="I14" s="41">
        <f t="shared" si="19"/>
        <v>2.6311999999999998</v>
      </c>
      <c r="J14" s="41">
        <f t="shared" si="19"/>
        <v>3.8419199999999982</v>
      </c>
      <c r="K14" s="82"/>
      <c r="L14" s="41">
        <f t="shared" si="20"/>
        <v>18.623000000000001</v>
      </c>
      <c r="M14" s="41">
        <f t="shared" si="20"/>
        <v>27.192</v>
      </c>
      <c r="N14" s="82"/>
      <c r="O14" s="41">
        <f t="shared" si="21"/>
        <v>4.3230000000000004</v>
      </c>
      <c r="P14" s="41">
        <f t="shared" si="21"/>
        <v>6.3120000000000012</v>
      </c>
      <c r="Q14" s="82"/>
      <c r="R14" s="76">
        <f t="shared" si="22"/>
        <v>9.9815724815724816E-2</v>
      </c>
      <c r="S14" s="76">
        <f t="shared" si="22"/>
        <v>9.9911333747540659E-2</v>
      </c>
      <c r="T14" s="82"/>
      <c r="U14" s="41">
        <f t="shared" si="23"/>
        <v>28.6</v>
      </c>
      <c r="V14" s="41">
        <f t="shared" si="23"/>
        <v>41.76</v>
      </c>
      <c r="W14" s="82"/>
      <c r="X14" s="41">
        <f t="shared" si="24"/>
        <v>34.32</v>
      </c>
      <c r="Y14" s="41">
        <f t="shared" si="24"/>
        <v>50.11</v>
      </c>
      <c r="AA14" s="182">
        <f t="shared" si="32"/>
        <v>34.299999999999997</v>
      </c>
      <c r="AB14" s="182">
        <f t="shared" si="32"/>
        <v>50.1</v>
      </c>
      <c r="AD14" s="40">
        <f t="shared" si="25"/>
        <v>28.583333333333332</v>
      </c>
      <c r="AE14" s="40">
        <f t="shared" si="25"/>
        <v>41.75</v>
      </c>
      <c r="AG14" s="40">
        <f t="shared" si="33"/>
        <v>2.0000000000003126E-2</v>
      </c>
      <c r="AH14" s="40">
        <f t="shared" si="33"/>
        <v>9.9999999999980105E-3</v>
      </c>
      <c r="AJ14" s="40">
        <f t="shared" si="26"/>
        <v>1.69</v>
      </c>
      <c r="AK14" s="40">
        <f t="shared" si="26"/>
        <v>2.4700000000000002</v>
      </c>
      <c r="AL14" s="40"/>
      <c r="AM14" s="180">
        <f t="shared" si="34"/>
        <v>11.648799999999998</v>
      </c>
      <c r="AN14" s="180">
        <f t="shared" si="35"/>
        <v>17.028080000000003</v>
      </c>
      <c r="AP14" s="76">
        <f t="shared" si="27"/>
        <v>9.1999999999999985E-2</v>
      </c>
      <c r="AQ14" s="76">
        <f t="shared" si="27"/>
        <v>9.1999999999999957E-2</v>
      </c>
      <c r="AS14" s="76">
        <f t="shared" si="28"/>
        <v>0.40730069930069923</v>
      </c>
      <c r="AT14" s="76">
        <f t="shared" si="28"/>
        <v>0.40776053639846754</v>
      </c>
      <c r="AV14" s="76">
        <f t="shared" si="29"/>
        <v>0.5</v>
      </c>
      <c r="AW14" s="76">
        <f t="shared" si="29"/>
        <v>0.5</v>
      </c>
      <c r="AX14" s="42"/>
      <c r="AY14" s="42">
        <f t="shared" si="30"/>
        <v>14.279999999999998</v>
      </c>
      <c r="AZ14" s="42">
        <f t="shared" si="30"/>
        <v>20.87</v>
      </c>
      <c r="BA14" s="42"/>
      <c r="BB14" s="76">
        <f t="shared" si="31"/>
        <v>0.4993006993006992</v>
      </c>
      <c r="BC14" s="76">
        <f t="shared" si="31"/>
        <v>0.49976053639846746</v>
      </c>
      <c r="BF14" s="40"/>
      <c r="BG14" s="40"/>
    </row>
    <row r="15" spans="1:62" x14ac:dyDescent="0.25">
      <c r="B15" s="25" t="s">
        <v>26</v>
      </c>
      <c r="C15" s="149">
        <v>18.899999999999999</v>
      </c>
      <c r="D15" s="149">
        <v>26.64</v>
      </c>
      <c r="E15" s="41"/>
      <c r="F15" s="41">
        <f t="shared" si="18"/>
        <v>22.377599999999997</v>
      </c>
      <c r="G15" s="41">
        <f t="shared" si="18"/>
        <v>31.54176</v>
      </c>
      <c r="H15" s="82"/>
      <c r="I15" s="41">
        <f t="shared" si="19"/>
        <v>3.4775999999999989</v>
      </c>
      <c r="J15" s="41">
        <f t="shared" si="19"/>
        <v>4.9017599999999995</v>
      </c>
      <c r="K15" s="82"/>
      <c r="L15" s="41">
        <f t="shared" si="20"/>
        <v>24.618000000000002</v>
      </c>
      <c r="M15" s="41">
        <f t="shared" si="20"/>
        <v>34.694000000000003</v>
      </c>
      <c r="N15" s="82"/>
      <c r="O15" s="41">
        <f t="shared" si="21"/>
        <v>5.7180000000000035</v>
      </c>
      <c r="P15" s="41">
        <f t="shared" si="21"/>
        <v>8.054000000000002</v>
      </c>
      <c r="Q15" s="82"/>
      <c r="R15" s="76">
        <f t="shared" si="22"/>
        <v>0.10010010010010012</v>
      </c>
      <c r="S15" s="76">
        <f t="shared" si="22"/>
        <v>9.9867604090577058E-2</v>
      </c>
      <c r="T15" s="82"/>
      <c r="U15" s="41">
        <f t="shared" si="23"/>
        <v>37.799999999999997</v>
      </c>
      <c r="V15" s="41">
        <f t="shared" si="23"/>
        <v>53.28</v>
      </c>
      <c r="W15" s="82"/>
      <c r="X15" s="41">
        <f t="shared" si="24"/>
        <v>45.36</v>
      </c>
      <c r="Y15" s="41">
        <f t="shared" si="24"/>
        <v>63.94</v>
      </c>
      <c r="AA15" s="182">
        <f t="shared" si="32"/>
        <v>45.3</v>
      </c>
      <c r="AB15" s="182">
        <f t="shared" si="32"/>
        <v>63.9</v>
      </c>
      <c r="AD15" s="40">
        <f t="shared" si="25"/>
        <v>37.75</v>
      </c>
      <c r="AE15" s="40">
        <f t="shared" si="25"/>
        <v>53.25</v>
      </c>
      <c r="AG15" s="40">
        <f t="shared" si="33"/>
        <v>6.0000000000002274E-2</v>
      </c>
      <c r="AH15" s="40">
        <f t="shared" si="33"/>
        <v>3.9999999999999147E-2</v>
      </c>
      <c r="AJ15" s="40">
        <f t="shared" si="26"/>
        <v>2.2400000000000002</v>
      </c>
      <c r="AK15" s="40">
        <f t="shared" si="26"/>
        <v>3.15</v>
      </c>
      <c r="AL15" s="40"/>
      <c r="AM15" s="180">
        <f t="shared" si="34"/>
        <v>15.362399999999997</v>
      </c>
      <c r="AN15" s="180">
        <f t="shared" si="35"/>
        <v>21.698240000000002</v>
      </c>
      <c r="AP15" s="76">
        <f t="shared" si="27"/>
        <v>9.1999999999999985E-2</v>
      </c>
      <c r="AQ15" s="76">
        <f t="shared" si="27"/>
        <v>9.1999999999999985E-2</v>
      </c>
      <c r="AS15" s="76">
        <f t="shared" si="28"/>
        <v>0.40641269841269839</v>
      </c>
      <c r="AT15" s="76">
        <f t="shared" si="28"/>
        <v>0.40724924924924927</v>
      </c>
      <c r="AV15" s="76">
        <f t="shared" si="29"/>
        <v>0.5</v>
      </c>
      <c r="AW15" s="76">
        <f t="shared" si="29"/>
        <v>0.5</v>
      </c>
      <c r="AX15" s="42"/>
      <c r="AY15" s="42">
        <f t="shared" si="30"/>
        <v>18.839999999999996</v>
      </c>
      <c r="AZ15" s="42">
        <f t="shared" si="30"/>
        <v>26.6</v>
      </c>
      <c r="BA15" s="42"/>
      <c r="BB15" s="76">
        <f t="shared" si="31"/>
        <v>0.49841269841269836</v>
      </c>
      <c r="BC15" s="76">
        <f t="shared" si="31"/>
        <v>0.49924924924924924</v>
      </c>
      <c r="BF15" s="40"/>
      <c r="BG15" s="40"/>
    </row>
    <row r="16" spans="1:62" x14ac:dyDescent="0.25">
      <c r="B16" s="25" t="s">
        <v>27</v>
      </c>
      <c r="C16" s="149">
        <v>22.29</v>
      </c>
      <c r="D16" s="149">
        <v>31.22</v>
      </c>
      <c r="E16" s="41"/>
      <c r="F16" s="41">
        <f t="shared" si="18"/>
        <v>26.391359999999999</v>
      </c>
      <c r="G16" s="41">
        <f t="shared" si="18"/>
        <v>36.964479999999995</v>
      </c>
      <c r="H16" s="82"/>
      <c r="I16" s="41">
        <f t="shared" si="19"/>
        <v>4.1013599999999997</v>
      </c>
      <c r="J16" s="41">
        <f t="shared" si="19"/>
        <v>5.7444799999999958</v>
      </c>
      <c r="K16" s="82"/>
      <c r="L16" s="41">
        <f t="shared" si="20"/>
        <v>29.029000000000003</v>
      </c>
      <c r="M16" s="41">
        <f t="shared" si="20"/>
        <v>40.656000000000006</v>
      </c>
      <c r="N16" s="82"/>
      <c r="O16" s="41">
        <f t="shared" si="21"/>
        <v>6.7390000000000043</v>
      </c>
      <c r="P16" s="41">
        <f t="shared" si="21"/>
        <v>9.436000000000007</v>
      </c>
      <c r="Q16" s="82"/>
      <c r="R16" s="76">
        <f t="shared" si="22"/>
        <v>0.10003273798697757</v>
      </c>
      <c r="S16" s="76">
        <f t="shared" si="22"/>
        <v>0.10009609224855863</v>
      </c>
      <c r="T16" s="82"/>
      <c r="U16" s="41">
        <f t="shared" si="23"/>
        <v>44.58</v>
      </c>
      <c r="V16" s="41">
        <f t="shared" si="23"/>
        <v>62.44</v>
      </c>
      <c r="W16" s="82"/>
      <c r="X16" s="41">
        <f t="shared" si="24"/>
        <v>53.5</v>
      </c>
      <c r="Y16" s="41">
        <f t="shared" si="24"/>
        <v>74.930000000000007</v>
      </c>
      <c r="AA16" s="182">
        <f t="shared" si="32"/>
        <v>53.4</v>
      </c>
      <c r="AB16" s="182">
        <f t="shared" si="32"/>
        <v>74.900000000000006</v>
      </c>
      <c r="AD16" s="40">
        <f t="shared" si="25"/>
        <v>44.5</v>
      </c>
      <c r="AE16" s="40">
        <f t="shared" si="25"/>
        <v>62.416666666666671</v>
      </c>
      <c r="AG16" s="40">
        <f t="shared" si="33"/>
        <v>0.10000000000000142</v>
      </c>
      <c r="AH16" s="40">
        <f t="shared" si="33"/>
        <v>3.0000000000001137E-2</v>
      </c>
      <c r="AJ16" s="40">
        <f t="shared" si="26"/>
        <v>2.64</v>
      </c>
      <c r="AK16" s="40">
        <f t="shared" si="26"/>
        <v>3.7</v>
      </c>
      <c r="AL16" s="40"/>
      <c r="AM16" s="180">
        <f t="shared" si="34"/>
        <v>18.088639999999998</v>
      </c>
      <c r="AN16" s="180">
        <f t="shared" si="35"/>
        <v>25.445520000000002</v>
      </c>
      <c r="AP16" s="76">
        <f t="shared" si="27"/>
        <v>9.1999999999999998E-2</v>
      </c>
      <c r="AQ16" s="76">
        <f t="shared" si="27"/>
        <v>9.1999999999999943E-2</v>
      </c>
      <c r="AS16" s="76">
        <f t="shared" si="28"/>
        <v>0.40575684163301928</v>
      </c>
      <c r="AT16" s="76">
        <f t="shared" si="28"/>
        <v>0.40751953875720698</v>
      </c>
      <c r="AV16" s="76">
        <f t="shared" si="29"/>
        <v>0.5</v>
      </c>
      <c r="AW16" s="76">
        <f t="shared" si="29"/>
        <v>0.5</v>
      </c>
      <c r="AX16" s="42"/>
      <c r="AY16" s="42">
        <f t="shared" si="30"/>
        <v>22.189999999999998</v>
      </c>
      <c r="AZ16" s="42">
        <f t="shared" si="30"/>
        <v>31.189999999999998</v>
      </c>
      <c r="BA16" s="42"/>
      <c r="BB16" s="76">
        <f t="shared" si="31"/>
        <v>0.49775684163301925</v>
      </c>
      <c r="BC16" s="76">
        <f t="shared" si="31"/>
        <v>0.49951953875720689</v>
      </c>
      <c r="BF16" s="40"/>
      <c r="BG16" s="40"/>
    </row>
    <row r="17" spans="2:59" x14ac:dyDescent="0.25">
      <c r="B17" s="25" t="s">
        <v>29</v>
      </c>
      <c r="C17" s="149">
        <v>2.97</v>
      </c>
      <c r="D17" s="149">
        <v>4.04</v>
      </c>
      <c r="E17" s="41"/>
      <c r="F17" s="41">
        <f t="shared" si="18"/>
        <v>3.5164800000000001</v>
      </c>
      <c r="G17" s="41">
        <f t="shared" si="18"/>
        <v>4.7833600000000001</v>
      </c>
      <c r="H17" s="82"/>
      <c r="I17" s="41">
        <f t="shared" si="19"/>
        <v>0.54647999999999985</v>
      </c>
      <c r="J17" s="41">
        <f t="shared" si="19"/>
        <v>0.74336000000000002</v>
      </c>
      <c r="K17" s="82"/>
      <c r="L17" s="41">
        <f t="shared" si="20"/>
        <v>3.8720000000000003</v>
      </c>
      <c r="M17" s="41">
        <f t="shared" si="20"/>
        <v>5.2580000000000009</v>
      </c>
      <c r="N17" s="82"/>
      <c r="O17" s="41">
        <f t="shared" si="21"/>
        <v>0.90200000000000014</v>
      </c>
      <c r="P17" s="41">
        <f t="shared" si="21"/>
        <v>1.2180000000000009</v>
      </c>
      <c r="Q17" s="82"/>
      <c r="R17" s="76">
        <f t="shared" si="22"/>
        <v>9.9531349531349525E-2</v>
      </c>
      <c r="S17" s="76">
        <f t="shared" si="22"/>
        <v>0.10034787262510034</v>
      </c>
      <c r="T17" s="82"/>
      <c r="U17" s="41">
        <f t="shared" si="23"/>
        <v>5.94</v>
      </c>
      <c r="V17" s="41">
        <f t="shared" si="23"/>
        <v>8.08</v>
      </c>
      <c r="W17" s="82"/>
      <c r="X17" s="41">
        <f t="shared" si="24"/>
        <v>7.13</v>
      </c>
      <c r="Y17" s="41">
        <f t="shared" si="24"/>
        <v>9.6999999999999993</v>
      </c>
      <c r="AA17" s="182">
        <f>ROUNDDOWN(C17/(1-$X$1)*1.2,1)</f>
        <v>7.1</v>
      </c>
      <c r="AB17" s="182">
        <f>ROUNDDOWN(D17/(1-$X$1)*1.2,1)</f>
        <v>9.6</v>
      </c>
      <c r="AD17" s="40">
        <f t="shared" si="25"/>
        <v>5.916666666666667</v>
      </c>
      <c r="AE17" s="40">
        <f t="shared" si="25"/>
        <v>8</v>
      </c>
      <c r="AG17" s="40">
        <f t="shared" si="33"/>
        <v>3.0000000000000249E-2</v>
      </c>
      <c r="AH17" s="40">
        <f t="shared" si="33"/>
        <v>9.9999999999999645E-2</v>
      </c>
      <c r="AJ17" s="40">
        <f t="shared" si="26"/>
        <v>0.35</v>
      </c>
      <c r="AK17" s="40">
        <f t="shared" si="26"/>
        <v>0.48</v>
      </c>
      <c r="AL17" s="40"/>
      <c r="AM17" s="180">
        <f t="shared" si="34"/>
        <v>2.3935200000000001</v>
      </c>
      <c r="AN17" s="180">
        <f t="shared" si="35"/>
        <v>3.1966400000000004</v>
      </c>
      <c r="AP17" s="76">
        <f t="shared" si="27"/>
        <v>9.1999999999999971E-2</v>
      </c>
      <c r="AQ17" s="76">
        <f t="shared" si="27"/>
        <v>9.1999999999999998E-2</v>
      </c>
      <c r="AS17" s="76">
        <f t="shared" si="28"/>
        <v>0.40294949494949495</v>
      </c>
      <c r="AT17" s="76">
        <f t="shared" si="28"/>
        <v>0.39562376237623764</v>
      </c>
      <c r="AV17" s="76">
        <f t="shared" si="29"/>
        <v>0.5</v>
      </c>
      <c r="AW17" s="76">
        <f t="shared" si="29"/>
        <v>0.5</v>
      </c>
      <c r="AX17" s="42"/>
      <c r="AY17" s="42">
        <f t="shared" si="30"/>
        <v>2.94</v>
      </c>
      <c r="AZ17" s="42">
        <f t="shared" si="30"/>
        <v>3.9400000000000004</v>
      </c>
      <c r="BA17" s="42"/>
      <c r="BB17" s="76">
        <f t="shared" si="31"/>
        <v>0.49494949494949492</v>
      </c>
      <c r="BC17" s="76">
        <f t="shared" si="31"/>
        <v>0.48762376237623767</v>
      </c>
      <c r="BF17" s="40"/>
      <c r="BG17" s="40"/>
    </row>
    <row r="18" spans="2:59" x14ac:dyDescent="0.25">
      <c r="B18" s="25"/>
      <c r="C18" s="41"/>
      <c r="D18" s="41"/>
      <c r="E18" s="41"/>
      <c r="F18" s="41"/>
      <c r="G18" s="41"/>
      <c r="H18" s="82"/>
      <c r="I18" s="82"/>
      <c r="J18" s="82"/>
      <c r="K18" s="82"/>
      <c r="L18" s="41"/>
      <c r="M18" s="41"/>
      <c r="N18" s="4"/>
      <c r="O18" s="4"/>
      <c r="P18" s="4"/>
      <c r="Q18" s="4"/>
      <c r="R18" s="78"/>
      <c r="T18" s="4"/>
      <c r="U18" s="4"/>
      <c r="V18" s="4"/>
      <c r="W18" s="4"/>
      <c r="AJ18" s="40"/>
      <c r="AK18" s="40"/>
      <c r="AL18" s="40"/>
      <c r="AS18" s="103"/>
      <c r="AT18" s="103"/>
      <c r="AV18" s="40"/>
      <c r="AW18" s="40"/>
      <c r="BB18" s="77"/>
      <c r="BC18" s="77"/>
    </row>
    <row r="19" spans="2:59" x14ac:dyDescent="0.25">
      <c r="B19" s="32" t="s">
        <v>30</v>
      </c>
      <c r="C19" s="41"/>
      <c r="D19" s="41"/>
      <c r="E19" s="41"/>
      <c r="F19" s="41"/>
      <c r="G19" s="41"/>
      <c r="H19" s="82"/>
      <c r="I19" s="82"/>
      <c r="J19" s="82"/>
      <c r="K19" s="82"/>
      <c r="L19" s="41"/>
      <c r="M19" s="41"/>
      <c r="N19" s="4"/>
      <c r="O19" s="4"/>
      <c r="P19" s="4"/>
      <c r="Q19" s="4"/>
      <c r="R19" s="78"/>
      <c r="T19" s="4"/>
      <c r="U19" s="4"/>
      <c r="V19" s="4"/>
      <c r="W19" s="4"/>
      <c r="AJ19" s="40"/>
      <c r="AK19" s="40"/>
      <c r="AL19" s="40"/>
      <c r="AS19" s="103"/>
      <c r="AT19" s="103"/>
      <c r="AV19" s="40"/>
      <c r="AW19" s="40"/>
      <c r="BB19" s="77"/>
      <c r="BC19" s="77"/>
    </row>
    <row r="20" spans="2:59" x14ac:dyDescent="0.25">
      <c r="B20" s="25" t="s">
        <v>31</v>
      </c>
      <c r="C20" s="149">
        <v>19.89</v>
      </c>
      <c r="D20" s="149">
        <v>24.66</v>
      </c>
      <c r="E20" s="41"/>
      <c r="F20" s="41">
        <f t="shared" ref="F20:G25" si="36">C20*SUM(1+$G$1/$X$1)</f>
        <v>23.549759999999999</v>
      </c>
      <c r="G20" s="41">
        <f t="shared" si="36"/>
        <v>29.19744</v>
      </c>
      <c r="H20" s="82"/>
      <c r="I20" s="41">
        <f t="shared" ref="I20:J25" si="37">F20-C20</f>
        <v>3.6597599999999986</v>
      </c>
      <c r="J20" s="41">
        <f t="shared" si="37"/>
        <v>4.5374400000000001</v>
      </c>
      <c r="K20" s="82"/>
      <c r="L20" s="41">
        <f t="shared" ref="L20:M25" si="38">ROUND(C20*(1+$G$1*2),2)*SUM(1+$M$1)</f>
        <v>25.905000000000001</v>
      </c>
      <c r="M20" s="41">
        <f t="shared" si="38"/>
        <v>32.120000000000005</v>
      </c>
      <c r="N20" s="82"/>
      <c r="O20" s="41">
        <f t="shared" ref="O20:P25" si="39">L20-C20</f>
        <v>6.0150000000000006</v>
      </c>
      <c r="P20" s="41">
        <f t="shared" si="39"/>
        <v>7.4600000000000044</v>
      </c>
      <c r="Q20" s="82"/>
      <c r="R20" s="76">
        <f t="shared" ref="R20:S25" si="40">AJ20/F20</f>
        <v>0.10021333550745315</v>
      </c>
      <c r="S20" s="76">
        <f t="shared" si="40"/>
        <v>0.10000876789197957</v>
      </c>
      <c r="T20" s="82"/>
      <c r="U20" s="41">
        <f t="shared" ref="U20:V25" si="41">SUM(C20/(1-$X$1))</f>
        <v>39.78</v>
      </c>
      <c r="V20" s="41">
        <f t="shared" si="41"/>
        <v>49.32</v>
      </c>
      <c r="W20" s="82"/>
      <c r="X20" s="41">
        <f t="shared" ref="X20:Y25" si="42">ROUND(C20/(1-$X$1)*1.2,2)</f>
        <v>47.74</v>
      </c>
      <c r="Y20" s="41">
        <f t="shared" si="42"/>
        <v>59.18</v>
      </c>
      <c r="AA20" s="182">
        <f>ROUNDDOWN(C20/(1-$X$1)*1.2,1)</f>
        <v>47.7</v>
      </c>
      <c r="AB20" s="182">
        <f>ROUNDDOWN(D20/(1-$X$1)*1.2,1)</f>
        <v>59.1</v>
      </c>
      <c r="AD20" s="40">
        <f t="shared" ref="AD20:AE25" si="43">AA20/1.2</f>
        <v>39.750000000000007</v>
      </c>
      <c r="AE20" s="40">
        <f t="shared" si="43"/>
        <v>49.25</v>
      </c>
      <c r="AG20" s="40">
        <f>X20-AA20</f>
        <v>3.9999999999999147E-2</v>
      </c>
      <c r="AH20" s="40">
        <f>Y20-AB20</f>
        <v>7.9999999999998295E-2</v>
      </c>
      <c r="AJ20" s="40">
        <f t="shared" ref="AJ20:AK25" si="44">ROUND(L20*(1-(1/(1+$AL$1))),2)</f>
        <v>2.36</v>
      </c>
      <c r="AK20" s="40">
        <f t="shared" si="44"/>
        <v>2.92</v>
      </c>
      <c r="AL20" s="40"/>
      <c r="AM20" s="180">
        <f>SUM(U20-F20)-AG20</f>
        <v>16.190240000000003</v>
      </c>
      <c r="AN20" s="180">
        <f>SUM(V20-G20)-AH20</f>
        <v>20.042560000000002</v>
      </c>
      <c r="AP20" s="76">
        <f t="shared" ref="AP20:AQ25" si="45">(SUM(F20-C20)/C20)*$X$1</f>
        <v>9.1999999999999957E-2</v>
      </c>
      <c r="AQ20" s="76">
        <f t="shared" si="45"/>
        <v>9.1999999999999998E-2</v>
      </c>
      <c r="AS20" s="76">
        <f t="shared" ref="AS20:AT25" si="46">AM20/U20</f>
        <v>0.40699446958270491</v>
      </c>
      <c r="AT20" s="76">
        <f t="shared" si="46"/>
        <v>0.40637793998377941</v>
      </c>
      <c r="AV20" s="76">
        <f t="shared" ref="AV20:AW25" si="47">C20/U20</f>
        <v>0.5</v>
      </c>
      <c r="AW20" s="76">
        <f t="shared" si="47"/>
        <v>0.5</v>
      </c>
      <c r="AX20" s="42"/>
      <c r="AY20" s="42">
        <f t="shared" ref="AY20:AZ25" si="48">I20+AM20</f>
        <v>19.850000000000001</v>
      </c>
      <c r="AZ20" s="42">
        <f t="shared" si="48"/>
        <v>24.580000000000002</v>
      </c>
      <c r="BA20" s="42"/>
      <c r="BB20" s="76">
        <f t="shared" ref="BB20:BC25" si="49">AY20/(C20/$X$1)</f>
        <v>0.49899446958270488</v>
      </c>
      <c r="BC20" s="76">
        <f t="shared" si="49"/>
        <v>0.49837793998377944</v>
      </c>
      <c r="BF20" s="40"/>
      <c r="BG20" s="40"/>
    </row>
    <row r="21" spans="2:59" x14ac:dyDescent="0.25">
      <c r="B21" s="25" t="s">
        <v>24</v>
      </c>
      <c r="C21" s="149">
        <v>23.94</v>
      </c>
      <c r="D21" s="149">
        <v>27.47</v>
      </c>
      <c r="E21" s="41"/>
      <c r="F21" s="41">
        <f t="shared" si="36"/>
        <v>28.34496</v>
      </c>
      <c r="G21" s="41">
        <f t="shared" si="36"/>
        <v>32.524479999999997</v>
      </c>
      <c r="H21" s="82"/>
      <c r="I21" s="41">
        <f t="shared" si="37"/>
        <v>4.4049599999999991</v>
      </c>
      <c r="J21" s="41">
        <f t="shared" si="37"/>
        <v>5.0544799999999981</v>
      </c>
      <c r="K21" s="82"/>
      <c r="L21" s="41">
        <f t="shared" si="38"/>
        <v>31.174000000000003</v>
      </c>
      <c r="M21" s="41">
        <f t="shared" si="38"/>
        <v>35.772000000000006</v>
      </c>
      <c r="N21" s="82"/>
      <c r="O21" s="41">
        <f t="shared" si="39"/>
        <v>7.2340000000000018</v>
      </c>
      <c r="P21" s="41">
        <f t="shared" si="39"/>
        <v>8.3020000000000067</v>
      </c>
      <c r="Q21" s="82"/>
      <c r="R21" s="76">
        <f t="shared" si="40"/>
        <v>9.9841382736119574E-2</v>
      </c>
      <c r="S21" s="76">
        <f t="shared" si="40"/>
        <v>9.9924733616033226E-2</v>
      </c>
      <c r="T21" s="82"/>
      <c r="U21" s="41">
        <f t="shared" si="41"/>
        <v>47.88</v>
      </c>
      <c r="V21" s="41">
        <f t="shared" si="41"/>
        <v>54.94</v>
      </c>
      <c r="W21" s="82"/>
      <c r="X21" s="41">
        <f t="shared" si="42"/>
        <v>57.46</v>
      </c>
      <c r="Y21" s="41">
        <f t="shared" si="42"/>
        <v>65.930000000000007</v>
      </c>
      <c r="AA21" s="182">
        <f t="shared" ref="AA21:AB24" si="50">ROUNDDOWN(C21/(1-$X$1)*1.2,1)</f>
        <v>57.4</v>
      </c>
      <c r="AB21" s="182">
        <f t="shared" si="50"/>
        <v>65.900000000000006</v>
      </c>
      <c r="AD21" s="40">
        <f t="shared" si="43"/>
        <v>47.833333333333336</v>
      </c>
      <c r="AE21" s="40">
        <f t="shared" si="43"/>
        <v>54.916666666666671</v>
      </c>
      <c r="AG21" s="40">
        <f t="shared" ref="AG21:AH25" si="51">X21-AA21</f>
        <v>6.0000000000002274E-2</v>
      </c>
      <c r="AH21" s="40">
        <f t="shared" si="51"/>
        <v>3.0000000000001137E-2</v>
      </c>
      <c r="AJ21" s="40">
        <f t="shared" si="44"/>
        <v>2.83</v>
      </c>
      <c r="AK21" s="40">
        <f t="shared" si="44"/>
        <v>3.25</v>
      </c>
      <c r="AL21" s="40"/>
      <c r="AM21" s="180">
        <f t="shared" ref="AM21:AM25" si="52">SUM(U21-F21)-AG21</f>
        <v>19.47504</v>
      </c>
      <c r="AN21" s="180">
        <f t="shared" ref="AN21:AN25" si="53">SUM(V21-G21)-AH21</f>
        <v>22.38552</v>
      </c>
      <c r="AP21" s="76">
        <f t="shared" si="45"/>
        <v>9.1999999999999971E-2</v>
      </c>
      <c r="AQ21" s="76">
        <f t="shared" si="45"/>
        <v>9.1999999999999971E-2</v>
      </c>
      <c r="AS21" s="76">
        <f t="shared" si="46"/>
        <v>0.4067468671679198</v>
      </c>
      <c r="AT21" s="76">
        <f t="shared" si="46"/>
        <v>0.40745394976337823</v>
      </c>
      <c r="AV21" s="76">
        <f t="shared" si="47"/>
        <v>0.5</v>
      </c>
      <c r="AW21" s="76">
        <f t="shared" si="47"/>
        <v>0.5</v>
      </c>
      <c r="AX21" s="42"/>
      <c r="AY21" s="42">
        <f t="shared" si="48"/>
        <v>23.88</v>
      </c>
      <c r="AZ21" s="42">
        <f t="shared" si="48"/>
        <v>27.439999999999998</v>
      </c>
      <c r="BA21" s="42"/>
      <c r="BB21" s="76">
        <f t="shared" si="49"/>
        <v>0.49874686716791977</v>
      </c>
      <c r="BC21" s="76">
        <f t="shared" si="49"/>
        <v>0.4994539497633782</v>
      </c>
      <c r="BF21" s="40"/>
      <c r="BG21" s="40"/>
    </row>
    <row r="22" spans="2:59" x14ac:dyDescent="0.25">
      <c r="B22" s="25" t="s">
        <v>25</v>
      </c>
      <c r="C22" s="149">
        <v>29.22</v>
      </c>
      <c r="D22" s="149">
        <v>33.770000000000003</v>
      </c>
      <c r="E22" s="41"/>
      <c r="F22" s="41">
        <f t="shared" si="36"/>
        <v>34.59648</v>
      </c>
      <c r="G22" s="41">
        <f t="shared" si="36"/>
        <v>39.98368</v>
      </c>
      <c r="H22" s="82"/>
      <c r="I22" s="41">
        <f t="shared" si="37"/>
        <v>5.3764800000000008</v>
      </c>
      <c r="J22" s="41">
        <f t="shared" si="37"/>
        <v>6.2136799999999965</v>
      </c>
      <c r="K22" s="82"/>
      <c r="L22" s="41">
        <f t="shared" si="38"/>
        <v>38.06</v>
      </c>
      <c r="M22" s="41">
        <f t="shared" si="38"/>
        <v>43.978000000000002</v>
      </c>
      <c r="N22" s="82"/>
      <c r="O22" s="41">
        <f t="shared" si="39"/>
        <v>8.8400000000000034</v>
      </c>
      <c r="P22" s="41">
        <f t="shared" si="39"/>
        <v>10.207999999999998</v>
      </c>
      <c r="Q22" s="82"/>
      <c r="R22" s="76">
        <f t="shared" si="40"/>
        <v>0.10001017444549272</v>
      </c>
      <c r="S22" s="76">
        <f t="shared" si="40"/>
        <v>0.1000408166531945</v>
      </c>
      <c r="T22" s="82"/>
      <c r="U22" s="41">
        <f t="shared" si="41"/>
        <v>58.44</v>
      </c>
      <c r="V22" s="41">
        <f t="shared" si="41"/>
        <v>67.540000000000006</v>
      </c>
      <c r="W22" s="82"/>
      <c r="X22" s="41">
        <f t="shared" si="42"/>
        <v>70.13</v>
      </c>
      <c r="Y22" s="41">
        <f t="shared" si="42"/>
        <v>81.05</v>
      </c>
      <c r="AA22" s="182">
        <f t="shared" si="50"/>
        <v>70.099999999999994</v>
      </c>
      <c r="AB22" s="182">
        <f t="shared" si="50"/>
        <v>81</v>
      </c>
      <c r="AD22" s="40">
        <f t="shared" si="43"/>
        <v>58.416666666666664</v>
      </c>
      <c r="AE22" s="40">
        <f t="shared" si="43"/>
        <v>67.5</v>
      </c>
      <c r="AG22" s="40">
        <f t="shared" si="51"/>
        <v>3.0000000000001137E-2</v>
      </c>
      <c r="AH22" s="40">
        <f t="shared" si="51"/>
        <v>4.9999999999997158E-2</v>
      </c>
      <c r="AJ22" s="40">
        <f t="shared" si="44"/>
        <v>3.46</v>
      </c>
      <c r="AK22" s="40">
        <f t="shared" si="44"/>
        <v>4</v>
      </c>
      <c r="AL22" s="40"/>
      <c r="AM22" s="180">
        <f t="shared" si="52"/>
        <v>23.813519999999997</v>
      </c>
      <c r="AN22" s="180">
        <f t="shared" si="53"/>
        <v>27.506320000000009</v>
      </c>
      <c r="AP22" s="76">
        <f t="shared" si="45"/>
        <v>9.2000000000000012E-2</v>
      </c>
      <c r="AQ22" s="76">
        <f t="shared" si="45"/>
        <v>9.1999999999999943E-2</v>
      </c>
      <c r="AS22" s="76">
        <f t="shared" si="46"/>
        <v>0.40748665297741271</v>
      </c>
      <c r="AT22" s="76">
        <f t="shared" si="46"/>
        <v>0.40725969795676648</v>
      </c>
      <c r="AV22" s="76">
        <f t="shared" si="47"/>
        <v>0.5</v>
      </c>
      <c r="AW22" s="76">
        <f t="shared" si="47"/>
        <v>0.5</v>
      </c>
      <c r="AX22" s="42"/>
      <c r="AY22" s="42">
        <f t="shared" si="48"/>
        <v>29.189999999999998</v>
      </c>
      <c r="AZ22" s="42">
        <f t="shared" si="48"/>
        <v>33.720000000000006</v>
      </c>
      <c r="BA22" s="42"/>
      <c r="BB22" s="76">
        <f t="shared" si="49"/>
        <v>0.49948665297741274</v>
      </c>
      <c r="BC22" s="76">
        <f t="shared" si="49"/>
        <v>0.49925969795676639</v>
      </c>
      <c r="BF22" s="40"/>
      <c r="BG22" s="40"/>
    </row>
    <row r="23" spans="2:59" x14ac:dyDescent="0.25">
      <c r="B23" s="25" t="s">
        <v>26</v>
      </c>
      <c r="C23" s="149">
        <v>36.090000000000003</v>
      </c>
      <c r="D23" s="149">
        <v>41.66</v>
      </c>
      <c r="E23" s="41"/>
      <c r="F23" s="41">
        <f t="shared" si="36"/>
        <v>42.730560000000004</v>
      </c>
      <c r="G23" s="41">
        <f t="shared" si="36"/>
        <v>49.325439999999993</v>
      </c>
      <c r="H23" s="82"/>
      <c r="I23" s="41">
        <f t="shared" si="37"/>
        <v>6.6405600000000007</v>
      </c>
      <c r="J23" s="41">
        <f t="shared" si="37"/>
        <v>7.6654399999999967</v>
      </c>
      <c r="K23" s="82"/>
      <c r="L23" s="41">
        <f t="shared" si="38"/>
        <v>47.003</v>
      </c>
      <c r="M23" s="41">
        <f t="shared" si="38"/>
        <v>54.263000000000005</v>
      </c>
      <c r="N23" s="82"/>
      <c r="O23" s="41">
        <f t="shared" si="39"/>
        <v>10.912999999999997</v>
      </c>
      <c r="P23" s="41">
        <f t="shared" si="39"/>
        <v>12.603000000000009</v>
      </c>
      <c r="Q23" s="82"/>
      <c r="R23" s="76">
        <f t="shared" si="40"/>
        <v>9.9928482098058144E-2</v>
      </c>
      <c r="S23" s="76">
        <f t="shared" si="40"/>
        <v>9.9948424180301282E-2</v>
      </c>
      <c r="T23" s="82"/>
      <c r="U23" s="41">
        <f t="shared" si="41"/>
        <v>72.180000000000007</v>
      </c>
      <c r="V23" s="41">
        <f t="shared" si="41"/>
        <v>83.32</v>
      </c>
      <c r="W23" s="82"/>
      <c r="X23" s="41">
        <f t="shared" si="42"/>
        <v>86.62</v>
      </c>
      <c r="Y23" s="41">
        <f t="shared" si="42"/>
        <v>99.98</v>
      </c>
      <c r="AA23" s="182">
        <f t="shared" si="50"/>
        <v>86.6</v>
      </c>
      <c r="AB23" s="182">
        <f t="shared" si="50"/>
        <v>99.9</v>
      </c>
      <c r="AD23" s="40">
        <f t="shared" si="43"/>
        <v>72.166666666666671</v>
      </c>
      <c r="AE23" s="40">
        <f t="shared" si="43"/>
        <v>83.250000000000014</v>
      </c>
      <c r="AG23" s="40">
        <f t="shared" si="51"/>
        <v>2.0000000000010232E-2</v>
      </c>
      <c r="AH23" s="40">
        <f t="shared" si="51"/>
        <v>7.9999999999998295E-2</v>
      </c>
      <c r="AJ23" s="40">
        <f t="shared" si="44"/>
        <v>4.2699999999999996</v>
      </c>
      <c r="AK23" s="40">
        <f t="shared" si="44"/>
        <v>4.93</v>
      </c>
      <c r="AL23" s="40"/>
      <c r="AM23" s="180">
        <f t="shared" si="52"/>
        <v>29.429439999999992</v>
      </c>
      <c r="AN23" s="180">
        <f t="shared" si="53"/>
        <v>33.914560000000002</v>
      </c>
      <c r="AP23" s="76">
        <f t="shared" si="45"/>
        <v>9.1999999999999998E-2</v>
      </c>
      <c r="AQ23" s="76">
        <f t="shared" si="45"/>
        <v>9.1999999999999971E-2</v>
      </c>
      <c r="AS23" s="76">
        <f t="shared" si="46"/>
        <v>0.40772291493488488</v>
      </c>
      <c r="AT23" s="76">
        <f t="shared" si="46"/>
        <v>0.40703984637542012</v>
      </c>
      <c r="AV23" s="76">
        <f t="shared" si="47"/>
        <v>0.5</v>
      </c>
      <c r="AW23" s="76">
        <f t="shared" si="47"/>
        <v>0.5</v>
      </c>
      <c r="AX23" s="42"/>
      <c r="AY23" s="42">
        <f t="shared" si="48"/>
        <v>36.069999999999993</v>
      </c>
      <c r="AZ23" s="42">
        <f t="shared" si="48"/>
        <v>41.58</v>
      </c>
      <c r="BA23" s="42"/>
      <c r="BB23" s="76">
        <f t="shared" si="49"/>
        <v>0.49972291493488485</v>
      </c>
      <c r="BC23" s="76">
        <f t="shared" si="49"/>
        <v>0.49903984637542009</v>
      </c>
      <c r="BF23" s="40"/>
      <c r="BG23" s="40"/>
    </row>
    <row r="24" spans="2:59" x14ac:dyDescent="0.25">
      <c r="B24" s="25" t="s">
        <v>27</v>
      </c>
      <c r="C24" s="149">
        <v>40.56</v>
      </c>
      <c r="D24" s="149">
        <v>45.99</v>
      </c>
      <c r="E24" s="41"/>
      <c r="F24" s="41">
        <f t="shared" si="36"/>
        <v>48.023040000000002</v>
      </c>
      <c r="G24" s="41">
        <f t="shared" si="36"/>
        <v>54.452159999999999</v>
      </c>
      <c r="H24" s="82"/>
      <c r="I24" s="41">
        <f t="shared" si="37"/>
        <v>7.4630399999999995</v>
      </c>
      <c r="J24" s="41">
        <f t="shared" si="37"/>
        <v>8.4621599999999972</v>
      </c>
      <c r="K24" s="82"/>
      <c r="L24" s="41">
        <f t="shared" si="38"/>
        <v>52.82200000000001</v>
      </c>
      <c r="M24" s="41">
        <f t="shared" si="38"/>
        <v>59.89500000000001</v>
      </c>
      <c r="N24" s="82"/>
      <c r="O24" s="41">
        <f t="shared" si="39"/>
        <v>12.262000000000008</v>
      </c>
      <c r="P24" s="41">
        <f t="shared" si="39"/>
        <v>13.905000000000008</v>
      </c>
      <c r="Q24" s="82"/>
      <c r="R24" s="76">
        <f t="shared" si="40"/>
        <v>9.9952023028946096E-2</v>
      </c>
      <c r="S24" s="76">
        <f t="shared" si="40"/>
        <v>0.10008785693717201</v>
      </c>
      <c r="T24" s="82"/>
      <c r="U24" s="41">
        <f t="shared" si="41"/>
        <v>81.12</v>
      </c>
      <c r="V24" s="41">
        <f t="shared" si="41"/>
        <v>91.98</v>
      </c>
      <c r="W24" s="82"/>
      <c r="X24" s="41">
        <f t="shared" si="42"/>
        <v>97.34</v>
      </c>
      <c r="Y24" s="41">
        <f t="shared" si="42"/>
        <v>110.38</v>
      </c>
      <c r="AA24" s="182">
        <f t="shared" si="50"/>
        <v>97.3</v>
      </c>
      <c r="AB24" s="182">
        <f t="shared" si="50"/>
        <v>110.3</v>
      </c>
      <c r="AD24" s="40">
        <f t="shared" si="43"/>
        <v>81.083333333333329</v>
      </c>
      <c r="AE24" s="40">
        <f t="shared" si="43"/>
        <v>91.916666666666671</v>
      </c>
      <c r="AG24" s="40">
        <f t="shared" si="51"/>
        <v>4.0000000000006253E-2</v>
      </c>
      <c r="AH24" s="40">
        <f t="shared" si="51"/>
        <v>7.9999999999998295E-2</v>
      </c>
      <c r="AJ24" s="40">
        <f t="shared" si="44"/>
        <v>4.8</v>
      </c>
      <c r="AK24" s="40">
        <f t="shared" si="44"/>
        <v>5.45</v>
      </c>
      <c r="AL24" s="40"/>
      <c r="AM24" s="180">
        <f t="shared" si="52"/>
        <v>33.056959999999997</v>
      </c>
      <c r="AN24" s="180">
        <f t="shared" si="53"/>
        <v>37.447840000000006</v>
      </c>
      <c r="AP24" s="76">
        <f t="shared" si="45"/>
        <v>9.1999999999999985E-2</v>
      </c>
      <c r="AQ24" s="76">
        <f t="shared" si="45"/>
        <v>9.1999999999999971E-2</v>
      </c>
      <c r="AS24" s="76">
        <f t="shared" si="46"/>
        <v>0.40750690335305711</v>
      </c>
      <c r="AT24" s="76">
        <f t="shared" si="46"/>
        <v>0.4071302457055882</v>
      </c>
      <c r="AV24" s="76">
        <f t="shared" si="47"/>
        <v>0.5</v>
      </c>
      <c r="AW24" s="76">
        <f t="shared" si="47"/>
        <v>0.5</v>
      </c>
      <c r="AX24" s="42"/>
      <c r="AY24" s="42">
        <f t="shared" si="48"/>
        <v>40.519999999999996</v>
      </c>
      <c r="AZ24" s="42">
        <f t="shared" si="48"/>
        <v>45.910000000000004</v>
      </c>
      <c r="BA24" s="42"/>
      <c r="BB24" s="76">
        <f t="shared" si="49"/>
        <v>0.49950690335305714</v>
      </c>
      <c r="BC24" s="76">
        <f t="shared" si="49"/>
        <v>0.49913024570558817</v>
      </c>
      <c r="BF24" s="40"/>
      <c r="BG24" s="40"/>
    </row>
    <row r="25" spans="2:59" x14ac:dyDescent="0.25">
      <c r="B25" s="25" t="s">
        <v>29</v>
      </c>
      <c r="C25" s="149">
        <v>5.74</v>
      </c>
      <c r="D25" s="149">
        <v>6.27</v>
      </c>
      <c r="E25" s="41"/>
      <c r="F25" s="41">
        <f t="shared" si="36"/>
        <v>6.7961599999999995</v>
      </c>
      <c r="G25" s="41">
        <f t="shared" si="36"/>
        <v>7.4236799999999992</v>
      </c>
      <c r="H25" s="82"/>
      <c r="I25" s="41">
        <f t="shared" si="37"/>
        <v>1.0561599999999993</v>
      </c>
      <c r="J25" s="41">
        <f t="shared" si="37"/>
        <v>1.1536799999999996</v>
      </c>
      <c r="K25" s="82"/>
      <c r="L25" s="41">
        <f t="shared" si="38"/>
        <v>7.48</v>
      </c>
      <c r="M25" s="41">
        <f t="shared" si="38"/>
        <v>8.1620000000000008</v>
      </c>
      <c r="N25" s="82"/>
      <c r="O25" s="41">
        <f t="shared" si="39"/>
        <v>1.7400000000000002</v>
      </c>
      <c r="P25" s="41">
        <f t="shared" si="39"/>
        <v>1.8920000000000012</v>
      </c>
      <c r="Q25" s="82"/>
      <c r="R25" s="76">
        <f t="shared" si="40"/>
        <v>0.1000565024955269</v>
      </c>
      <c r="S25" s="76">
        <f t="shared" si="40"/>
        <v>9.9681020733652329E-2</v>
      </c>
      <c r="T25" s="82"/>
      <c r="U25" s="41">
        <f t="shared" si="41"/>
        <v>11.48</v>
      </c>
      <c r="V25" s="41">
        <f t="shared" si="41"/>
        <v>12.54</v>
      </c>
      <c r="W25" s="82"/>
      <c r="X25" s="41">
        <f t="shared" si="42"/>
        <v>13.78</v>
      </c>
      <c r="Y25" s="41">
        <f t="shared" si="42"/>
        <v>15.05</v>
      </c>
      <c r="AA25" s="182">
        <f>ROUNDDOWN(C25/(1-$X$1)*1.2,1)</f>
        <v>13.7</v>
      </c>
      <c r="AB25" s="182">
        <f>ROUNDDOWN(D25/(1-$X$1)*1.2,1)</f>
        <v>15</v>
      </c>
      <c r="AD25" s="40">
        <f t="shared" si="43"/>
        <v>11.416666666666666</v>
      </c>
      <c r="AE25" s="40">
        <f t="shared" si="43"/>
        <v>12.5</v>
      </c>
      <c r="AG25" s="40">
        <f t="shared" si="51"/>
        <v>8.0000000000000071E-2</v>
      </c>
      <c r="AH25" s="40">
        <f t="shared" si="51"/>
        <v>5.0000000000000711E-2</v>
      </c>
      <c r="AJ25" s="40">
        <f t="shared" si="44"/>
        <v>0.68</v>
      </c>
      <c r="AK25" s="40">
        <f t="shared" si="44"/>
        <v>0.74</v>
      </c>
      <c r="AL25" s="40"/>
      <c r="AM25" s="180">
        <f t="shared" si="52"/>
        <v>4.6038400000000008</v>
      </c>
      <c r="AN25" s="180">
        <f t="shared" si="53"/>
        <v>5.0663199999999993</v>
      </c>
      <c r="AP25" s="76">
        <f t="shared" si="45"/>
        <v>9.1999999999999943E-2</v>
      </c>
      <c r="AQ25" s="76">
        <f t="shared" si="45"/>
        <v>9.1999999999999971E-2</v>
      </c>
      <c r="AS25" s="76">
        <f t="shared" si="46"/>
        <v>0.40103135888501745</v>
      </c>
      <c r="AT25" s="76">
        <f t="shared" si="46"/>
        <v>0.40401275917065388</v>
      </c>
      <c r="AV25" s="76">
        <f t="shared" si="47"/>
        <v>0.5</v>
      </c>
      <c r="AW25" s="76">
        <f t="shared" si="47"/>
        <v>0.5</v>
      </c>
      <c r="AX25" s="42"/>
      <c r="AY25" s="42">
        <f t="shared" si="48"/>
        <v>5.66</v>
      </c>
      <c r="AZ25" s="42">
        <f t="shared" si="48"/>
        <v>6.2199999999999989</v>
      </c>
      <c r="BA25" s="42"/>
      <c r="BB25" s="76">
        <f t="shared" si="49"/>
        <v>0.49303135888501742</v>
      </c>
      <c r="BC25" s="76">
        <f t="shared" si="49"/>
        <v>0.49601275917065385</v>
      </c>
      <c r="BF25" s="40"/>
      <c r="BG25" s="40"/>
    </row>
    <row r="26" spans="2:59" x14ac:dyDescent="0.25">
      <c r="B26" s="25"/>
      <c r="C26" s="41"/>
      <c r="D26" s="41"/>
      <c r="E26" s="41"/>
      <c r="F26" s="41"/>
      <c r="G26" s="41"/>
      <c r="H26" s="82"/>
      <c r="I26" s="82"/>
      <c r="J26" s="82"/>
      <c r="K26" s="82"/>
      <c r="L26" s="41"/>
      <c r="M26" s="41"/>
      <c r="N26" s="4"/>
      <c r="O26" s="4"/>
      <c r="P26" s="4"/>
      <c r="Q26" s="4"/>
      <c r="R26" s="78"/>
      <c r="T26" s="4"/>
      <c r="U26" s="4"/>
      <c r="V26" s="4"/>
      <c r="W26" s="4"/>
      <c r="AJ26" s="40"/>
      <c r="AK26" s="40"/>
      <c r="AL26" s="40"/>
      <c r="AM26" s="102"/>
      <c r="AN26" s="102"/>
      <c r="AS26" s="76"/>
      <c r="AT26" s="76"/>
      <c r="AV26" s="40"/>
      <c r="AW26" s="40"/>
      <c r="BB26" s="77"/>
      <c r="BC26" s="77"/>
    </row>
    <row r="27" spans="2:59" x14ac:dyDescent="0.25">
      <c r="B27" s="32" t="s">
        <v>32</v>
      </c>
      <c r="C27" s="41"/>
      <c r="D27" s="41"/>
      <c r="E27" s="41"/>
      <c r="F27" s="41"/>
      <c r="G27" s="41"/>
      <c r="H27" s="82"/>
      <c r="I27" s="82"/>
      <c r="J27" s="82"/>
      <c r="K27" s="82"/>
      <c r="L27" s="41"/>
      <c r="M27" s="41"/>
      <c r="N27" s="4"/>
      <c r="O27" s="4"/>
      <c r="P27" s="4"/>
      <c r="Q27" s="4"/>
      <c r="R27" s="78"/>
      <c r="T27" s="4"/>
      <c r="U27" s="4"/>
      <c r="V27" s="4"/>
      <c r="W27" s="4"/>
      <c r="AJ27" s="40"/>
      <c r="AK27" s="40"/>
      <c r="AL27" s="40"/>
      <c r="AS27" s="103"/>
      <c r="AT27" s="103"/>
      <c r="AV27" s="40"/>
      <c r="AW27" s="40"/>
      <c r="BB27" s="77"/>
      <c r="BC27" s="77"/>
    </row>
    <row r="28" spans="2:59" x14ac:dyDescent="0.25">
      <c r="B28" s="25" t="s">
        <v>23</v>
      </c>
      <c r="C28" s="149">
        <v>22.89</v>
      </c>
      <c r="D28" s="149">
        <v>27.26</v>
      </c>
      <c r="E28" s="41"/>
      <c r="F28" s="41">
        <f t="shared" ref="F28:G33" si="54">C28*SUM(1+$G$1/$X$1)</f>
        <v>27.101759999999999</v>
      </c>
      <c r="G28" s="41">
        <f t="shared" si="54"/>
        <v>32.275840000000002</v>
      </c>
      <c r="H28" s="82"/>
      <c r="I28" s="41">
        <f t="shared" ref="I28:J33" si="55">F28-C28</f>
        <v>4.2117599999999982</v>
      </c>
      <c r="J28" s="41">
        <f t="shared" si="55"/>
        <v>5.0158400000000007</v>
      </c>
      <c r="K28" s="82"/>
      <c r="L28" s="41">
        <f t="shared" ref="L28:M33" si="56">ROUND(C28*(1+$G$1*2),2)*SUM(1+$M$1)</f>
        <v>29.810000000000002</v>
      </c>
      <c r="M28" s="41">
        <f t="shared" si="56"/>
        <v>35.508000000000003</v>
      </c>
      <c r="N28" s="82"/>
      <c r="O28" s="41">
        <f t="shared" ref="O28:P32" si="57">L28-C28</f>
        <v>6.9200000000000017</v>
      </c>
      <c r="P28" s="41">
        <f t="shared" si="57"/>
        <v>8.2480000000000011</v>
      </c>
      <c r="Q28" s="82"/>
      <c r="R28" s="76">
        <f t="shared" ref="R28:S33" si="58">AJ28/F28</f>
        <v>9.9993505956808712E-2</v>
      </c>
      <c r="S28" s="76">
        <f t="shared" si="58"/>
        <v>0.10007485475203742</v>
      </c>
      <c r="T28" s="82"/>
      <c r="U28" s="41">
        <f t="shared" ref="U28:V33" si="59">SUM(C28/(1-$X$1))</f>
        <v>45.78</v>
      </c>
      <c r="V28" s="41">
        <f t="shared" si="59"/>
        <v>54.52</v>
      </c>
      <c r="W28" s="82"/>
      <c r="X28" s="41">
        <f t="shared" ref="X28:Y33" si="60">ROUND(C28/(1-$X$1)*1.2,2)</f>
        <v>54.94</v>
      </c>
      <c r="Y28" s="41">
        <f t="shared" si="60"/>
        <v>65.42</v>
      </c>
      <c r="AA28" s="182">
        <f>ROUNDDOWN(C28/(1-$X$1)*1.2,1)</f>
        <v>54.9</v>
      </c>
      <c r="AB28" s="182">
        <f>ROUNDDOWN(D28/(1-$X$1)*1.2,1)</f>
        <v>65.400000000000006</v>
      </c>
      <c r="AD28" s="40">
        <f t="shared" ref="AD28:AE33" si="61">AA28/1.2</f>
        <v>45.75</v>
      </c>
      <c r="AE28" s="40">
        <f t="shared" si="61"/>
        <v>54.500000000000007</v>
      </c>
      <c r="AG28" s="40">
        <f>X28-AA28</f>
        <v>3.9999999999999147E-2</v>
      </c>
      <c r="AH28" s="40">
        <f>Y28-AB28</f>
        <v>1.9999999999996021E-2</v>
      </c>
      <c r="AJ28" s="40">
        <f t="shared" ref="AJ28:AK33" si="62">ROUND(L28*(1-(1/(1+$AL$1))),2)</f>
        <v>2.71</v>
      </c>
      <c r="AK28" s="40">
        <f t="shared" si="62"/>
        <v>3.23</v>
      </c>
      <c r="AL28" s="40"/>
      <c r="AM28" s="180">
        <f>SUM(U28-F28)-AG28</f>
        <v>18.638240000000003</v>
      </c>
      <c r="AN28" s="180">
        <f>SUM(V28-G28)-AH28</f>
        <v>22.224160000000005</v>
      </c>
      <c r="AP28" s="76">
        <f t="shared" ref="AP28:AQ33" si="63">(SUM(F28-C28)/C28)*$X$1</f>
        <v>9.1999999999999957E-2</v>
      </c>
      <c r="AQ28" s="76">
        <f t="shared" si="63"/>
        <v>9.2000000000000012E-2</v>
      </c>
      <c r="AS28" s="76">
        <f t="shared" ref="AS28:AT33" si="64">AM28/U28</f>
        <v>0.40712625600699004</v>
      </c>
      <c r="AT28" s="76">
        <f t="shared" si="64"/>
        <v>0.40763316214233314</v>
      </c>
      <c r="AV28" s="76">
        <f t="shared" ref="AV28:AW33" si="65">C28/U28</f>
        <v>0.5</v>
      </c>
      <c r="AW28" s="76">
        <f t="shared" si="65"/>
        <v>0.5</v>
      </c>
      <c r="AX28" s="42"/>
      <c r="AY28" s="42">
        <f t="shared" ref="AY28:AZ33" si="66">I28+AM28</f>
        <v>22.85</v>
      </c>
      <c r="AZ28" s="42">
        <f t="shared" si="66"/>
        <v>27.240000000000006</v>
      </c>
      <c r="BA28" s="42"/>
      <c r="BB28" s="76">
        <f t="shared" ref="BB28:BC33" si="67">AY28/(C28/$X$1)</f>
        <v>0.49912625600698995</v>
      </c>
      <c r="BC28" s="76">
        <f t="shared" si="67"/>
        <v>0.49963316214233316</v>
      </c>
      <c r="BF28" s="40"/>
      <c r="BG28" s="40"/>
    </row>
    <row r="29" spans="2:59" x14ac:dyDescent="0.25">
      <c r="B29" s="25" t="s">
        <v>24</v>
      </c>
      <c r="C29" s="149">
        <v>27.69</v>
      </c>
      <c r="D29" s="149">
        <v>32.79</v>
      </c>
      <c r="E29" s="41"/>
      <c r="F29" s="41">
        <f t="shared" si="54"/>
        <v>32.784959999999998</v>
      </c>
      <c r="G29" s="41">
        <f t="shared" si="54"/>
        <v>38.823359999999994</v>
      </c>
      <c r="H29" s="82"/>
      <c r="I29" s="41">
        <f t="shared" si="55"/>
        <v>5.0949599999999968</v>
      </c>
      <c r="J29" s="41">
        <f t="shared" si="55"/>
        <v>6.0333599999999947</v>
      </c>
      <c r="K29" s="82"/>
      <c r="L29" s="41">
        <f t="shared" si="56"/>
        <v>36.058000000000007</v>
      </c>
      <c r="M29" s="41">
        <f t="shared" si="56"/>
        <v>42.702000000000005</v>
      </c>
      <c r="N29" s="82"/>
      <c r="O29" s="41">
        <f t="shared" si="57"/>
        <v>8.3680000000000057</v>
      </c>
      <c r="P29" s="41">
        <f t="shared" si="57"/>
        <v>9.9120000000000061</v>
      </c>
      <c r="Q29" s="82"/>
      <c r="R29" s="76">
        <f t="shared" si="58"/>
        <v>0.10004587469376201</v>
      </c>
      <c r="S29" s="76">
        <f t="shared" si="58"/>
        <v>9.9939830040470495E-2</v>
      </c>
      <c r="T29" s="82"/>
      <c r="U29" s="41">
        <f t="shared" si="59"/>
        <v>55.38</v>
      </c>
      <c r="V29" s="41">
        <f t="shared" si="59"/>
        <v>65.58</v>
      </c>
      <c r="W29" s="82"/>
      <c r="X29" s="41">
        <f t="shared" si="60"/>
        <v>66.459999999999994</v>
      </c>
      <c r="Y29" s="41">
        <f t="shared" si="60"/>
        <v>78.7</v>
      </c>
      <c r="AA29" s="182">
        <f t="shared" ref="AA29:AB32" si="68">ROUNDDOWN(C29/(1-$X$1)*1.2,1)</f>
        <v>66.400000000000006</v>
      </c>
      <c r="AB29" s="182">
        <f t="shared" si="68"/>
        <v>78.599999999999994</v>
      </c>
      <c r="AD29" s="40">
        <f t="shared" si="61"/>
        <v>55.333333333333343</v>
      </c>
      <c r="AE29" s="40">
        <f t="shared" si="61"/>
        <v>65.5</v>
      </c>
      <c r="AG29" s="40">
        <f t="shared" ref="AG29:AH33" si="69">X29-AA29</f>
        <v>5.9999999999988063E-2</v>
      </c>
      <c r="AH29" s="40">
        <f t="shared" si="69"/>
        <v>0.10000000000000853</v>
      </c>
      <c r="AJ29" s="40">
        <f t="shared" si="62"/>
        <v>3.28</v>
      </c>
      <c r="AK29" s="40">
        <f t="shared" si="62"/>
        <v>3.88</v>
      </c>
      <c r="AL29" s="40"/>
      <c r="AM29" s="180">
        <f t="shared" ref="AM29:AM33" si="70">SUM(U29-F29)-AG29</f>
        <v>22.535040000000016</v>
      </c>
      <c r="AN29" s="180">
        <f t="shared" ref="AN29:AN33" si="71">SUM(V29-G29)-AH29</f>
        <v>26.656639999999996</v>
      </c>
      <c r="AP29" s="76">
        <f t="shared" si="63"/>
        <v>9.1999999999999943E-2</v>
      </c>
      <c r="AQ29" s="76">
        <f t="shared" si="63"/>
        <v>9.1999999999999915E-2</v>
      </c>
      <c r="AS29" s="76">
        <f t="shared" si="64"/>
        <v>0.40691657638136541</v>
      </c>
      <c r="AT29" s="76">
        <f t="shared" si="64"/>
        <v>0.40647514486123815</v>
      </c>
      <c r="AV29" s="76">
        <f t="shared" si="65"/>
        <v>0.5</v>
      </c>
      <c r="AW29" s="76">
        <f t="shared" si="65"/>
        <v>0.5</v>
      </c>
      <c r="AX29" s="42"/>
      <c r="AY29" s="42">
        <f t="shared" si="66"/>
        <v>27.630000000000013</v>
      </c>
      <c r="AZ29" s="42">
        <f t="shared" si="66"/>
        <v>32.689999999999991</v>
      </c>
      <c r="BA29" s="42"/>
      <c r="BB29" s="76">
        <f t="shared" si="67"/>
        <v>0.49891657638136533</v>
      </c>
      <c r="BC29" s="76">
        <f t="shared" si="67"/>
        <v>0.49847514486123806</v>
      </c>
      <c r="BF29" s="40"/>
      <c r="BG29" s="40"/>
    </row>
    <row r="30" spans="2:59" x14ac:dyDescent="0.25">
      <c r="B30" s="25" t="s">
        <v>25</v>
      </c>
      <c r="C30" s="149">
        <v>34.17</v>
      </c>
      <c r="D30" s="149">
        <v>37.979999999999997</v>
      </c>
      <c r="E30" s="41"/>
      <c r="F30" s="41">
        <f t="shared" si="54"/>
        <v>40.457279999999997</v>
      </c>
      <c r="G30" s="41">
        <f t="shared" si="54"/>
        <v>44.968319999999991</v>
      </c>
      <c r="H30" s="82"/>
      <c r="I30" s="41">
        <f t="shared" si="55"/>
        <v>6.2872799999999955</v>
      </c>
      <c r="J30" s="41">
        <f t="shared" si="55"/>
        <v>6.9883199999999945</v>
      </c>
      <c r="K30" s="82"/>
      <c r="L30" s="41">
        <f t="shared" si="56"/>
        <v>44.506000000000007</v>
      </c>
      <c r="M30" s="41">
        <f t="shared" si="56"/>
        <v>49.467000000000006</v>
      </c>
      <c r="N30" s="82"/>
      <c r="O30" s="41">
        <f t="shared" si="57"/>
        <v>10.336000000000006</v>
      </c>
      <c r="P30" s="41">
        <f t="shared" si="57"/>
        <v>11.487000000000009</v>
      </c>
      <c r="Q30" s="82"/>
      <c r="R30" s="76">
        <f t="shared" si="58"/>
        <v>0.10010559286239708</v>
      </c>
      <c r="S30" s="76">
        <f t="shared" si="58"/>
        <v>0.10007044959651597</v>
      </c>
      <c r="T30" s="82"/>
      <c r="U30" s="41">
        <f t="shared" si="59"/>
        <v>68.34</v>
      </c>
      <c r="V30" s="41">
        <f t="shared" si="59"/>
        <v>75.959999999999994</v>
      </c>
      <c r="W30" s="82"/>
      <c r="X30" s="41">
        <f t="shared" si="60"/>
        <v>82.01</v>
      </c>
      <c r="Y30" s="41">
        <f t="shared" si="60"/>
        <v>91.15</v>
      </c>
      <c r="AA30" s="182">
        <f t="shared" si="68"/>
        <v>82</v>
      </c>
      <c r="AB30" s="182">
        <f t="shared" si="68"/>
        <v>91.1</v>
      </c>
      <c r="AD30" s="40">
        <f t="shared" si="61"/>
        <v>68.333333333333343</v>
      </c>
      <c r="AE30" s="40">
        <f t="shared" si="61"/>
        <v>75.916666666666671</v>
      </c>
      <c r="AG30" s="40">
        <f t="shared" si="69"/>
        <v>1.0000000000005116E-2</v>
      </c>
      <c r="AH30" s="40">
        <f t="shared" si="69"/>
        <v>5.0000000000011369E-2</v>
      </c>
      <c r="AJ30" s="40">
        <f t="shared" si="62"/>
        <v>4.05</v>
      </c>
      <c r="AK30" s="40">
        <f t="shared" si="62"/>
        <v>4.5</v>
      </c>
      <c r="AL30" s="40"/>
      <c r="AM30" s="180">
        <f t="shared" si="70"/>
        <v>27.872720000000001</v>
      </c>
      <c r="AN30" s="180">
        <f t="shared" si="71"/>
        <v>30.941679999999991</v>
      </c>
      <c r="AP30" s="76">
        <f t="shared" si="63"/>
        <v>9.1999999999999929E-2</v>
      </c>
      <c r="AQ30" s="76">
        <f t="shared" si="63"/>
        <v>9.1999999999999929E-2</v>
      </c>
      <c r="AS30" s="76">
        <f t="shared" si="64"/>
        <v>0.40785367281240853</v>
      </c>
      <c r="AT30" s="76">
        <f t="shared" si="64"/>
        <v>0.40734175882043172</v>
      </c>
      <c r="AV30" s="76">
        <f t="shared" si="65"/>
        <v>0.5</v>
      </c>
      <c r="AW30" s="76">
        <f t="shared" si="65"/>
        <v>0.5</v>
      </c>
      <c r="AX30" s="42"/>
      <c r="AY30" s="42">
        <f t="shared" si="66"/>
        <v>34.159999999999997</v>
      </c>
      <c r="AZ30" s="42">
        <f t="shared" si="66"/>
        <v>37.929999999999986</v>
      </c>
      <c r="BA30" s="42"/>
      <c r="BB30" s="76">
        <f t="shared" si="67"/>
        <v>0.49985367281240844</v>
      </c>
      <c r="BC30" s="76">
        <f t="shared" si="67"/>
        <v>0.49934175882043164</v>
      </c>
      <c r="BF30" s="40"/>
      <c r="BG30" s="40"/>
    </row>
    <row r="31" spans="2:59" x14ac:dyDescent="0.25">
      <c r="B31" s="25" t="s">
        <v>33</v>
      </c>
      <c r="C31" s="149">
        <v>42.83</v>
      </c>
      <c r="D31" s="149">
        <v>49.24</v>
      </c>
      <c r="E31" s="41"/>
      <c r="F31" s="41">
        <f t="shared" si="54"/>
        <v>50.710719999999995</v>
      </c>
      <c r="G31" s="41">
        <f t="shared" si="54"/>
        <v>58.300159999999998</v>
      </c>
      <c r="H31" s="82"/>
      <c r="I31" s="41">
        <f t="shared" si="55"/>
        <v>7.8807199999999966</v>
      </c>
      <c r="J31" s="41">
        <f t="shared" si="55"/>
        <v>9.0601599999999962</v>
      </c>
      <c r="K31" s="82"/>
      <c r="L31" s="41">
        <f t="shared" si="56"/>
        <v>55.781000000000006</v>
      </c>
      <c r="M31" s="41">
        <f t="shared" si="56"/>
        <v>64.13</v>
      </c>
      <c r="N31" s="82"/>
      <c r="O31" s="41">
        <f t="shared" si="57"/>
        <v>12.951000000000008</v>
      </c>
      <c r="P31" s="41">
        <f t="shared" si="57"/>
        <v>14.889999999999993</v>
      </c>
      <c r="Q31" s="82"/>
      <c r="R31" s="76">
        <f t="shared" si="58"/>
        <v>9.9978860485514714E-2</v>
      </c>
      <c r="S31" s="76">
        <f t="shared" si="58"/>
        <v>9.9999725558214597E-2</v>
      </c>
      <c r="T31" s="82"/>
      <c r="U31" s="41">
        <f t="shared" si="59"/>
        <v>85.66</v>
      </c>
      <c r="V31" s="41">
        <f t="shared" si="59"/>
        <v>98.48</v>
      </c>
      <c r="W31" s="82"/>
      <c r="X31" s="41">
        <f t="shared" si="60"/>
        <v>102.79</v>
      </c>
      <c r="Y31" s="41">
        <f t="shared" si="60"/>
        <v>118.18</v>
      </c>
      <c r="AA31" s="182">
        <f t="shared" si="68"/>
        <v>102.7</v>
      </c>
      <c r="AB31" s="182">
        <f t="shared" si="68"/>
        <v>118.1</v>
      </c>
      <c r="AD31" s="40">
        <f t="shared" si="61"/>
        <v>85.583333333333343</v>
      </c>
      <c r="AE31" s="40">
        <f t="shared" si="61"/>
        <v>98.416666666666671</v>
      </c>
      <c r="AG31" s="40">
        <f t="shared" si="69"/>
        <v>9.0000000000003411E-2</v>
      </c>
      <c r="AH31" s="40">
        <f t="shared" si="69"/>
        <v>8.0000000000012506E-2</v>
      </c>
      <c r="AJ31" s="40">
        <f t="shared" si="62"/>
        <v>5.07</v>
      </c>
      <c r="AK31" s="40">
        <f t="shared" si="62"/>
        <v>5.83</v>
      </c>
      <c r="AL31" s="40"/>
      <c r="AM31" s="180">
        <f t="shared" si="70"/>
        <v>34.859279999999998</v>
      </c>
      <c r="AN31" s="180">
        <f t="shared" si="71"/>
        <v>40.099839999999993</v>
      </c>
      <c r="AP31" s="76">
        <f t="shared" si="63"/>
        <v>9.1999999999999971E-2</v>
      </c>
      <c r="AQ31" s="76">
        <f t="shared" si="63"/>
        <v>9.1999999999999957E-2</v>
      </c>
      <c r="AS31" s="76">
        <f t="shared" si="64"/>
        <v>0.40694933457856641</v>
      </c>
      <c r="AT31" s="76">
        <f t="shared" si="64"/>
        <v>0.40718765231519083</v>
      </c>
      <c r="AV31" s="76">
        <f t="shared" si="65"/>
        <v>0.5</v>
      </c>
      <c r="AW31" s="76">
        <f t="shared" si="65"/>
        <v>0.5</v>
      </c>
      <c r="AX31" s="42"/>
      <c r="AY31" s="42">
        <f t="shared" si="66"/>
        <v>42.739999999999995</v>
      </c>
      <c r="AZ31" s="42">
        <f t="shared" si="66"/>
        <v>49.159999999999989</v>
      </c>
      <c r="BA31" s="42"/>
      <c r="BB31" s="76">
        <f t="shared" si="67"/>
        <v>0.49894933457856638</v>
      </c>
      <c r="BC31" s="76">
        <f t="shared" si="67"/>
        <v>0.4991876523151908</v>
      </c>
      <c r="BF31" s="40"/>
      <c r="BG31" s="40"/>
    </row>
    <row r="32" spans="2:59" x14ac:dyDescent="0.25">
      <c r="B32" s="25" t="s">
        <v>27</v>
      </c>
      <c r="C32" s="149">
        <v>47.24</v>
      </c>
      <c r="D32" s="149">
        <v>53.29</v>
      </c>
      <c r="E32" s="41"/>
      <c r="F32" s="41">
        <f t="shared" si="54"/>
        <v>55.932159999999996</v>
      </c>
      <c r="G32" s="41">
        <f t="shared" si="54"/>
        <v>63.095359999999992</v>
      </c>
      <c r="H32" s="82"/>
      <c r="I32" s="41">
        <f t="shared" si="55"/>
        <v>8.6921599999999941</v>
      </c>
      <c r="J32" s="41">
        <f t="shared" si="55"/>
        <v>9.8053599999999932</v>
      </c>
      <c r="K32" s="82"/>
      <c r="L32" s="41">
        <f t="shared" si="56"/>
        <v>61.523000000000003</v>
      </c>
      <c r="M32" s="41">
        <f t="shared" si="56"/>
        <v>69.410000000000011</v>
      </c>
      <c r="N32" s="82"/>
      <c r="O32" s="41">
        <f t="shared" si="57"/>
        <v>14.283000000000001</v>
      </c>
      <c r="P32" s="41">
        <f t="shared" si="57"/>
        <v>16.120000000000012</v>
      </c>
      <c r="Q32" s="82"/>
      <c r="R32" s="76">
        <f t="shared" si="58"/>
        <v>9.9942501773577136E-2</v>
      </c>
      <c r="S32" s="76">
        <f t="shared" si="58"/>
        <v>0.10000735394805578</v>
      </c>
      <c r="T32" s="82"/>
      <c r="U32" s="41">
        <f t="shared" si="59"/>
        <v>94.48</v>
      </c>
      <c r="V32" s="41">
        <f t="shared" si="59"/>
        <v>106.58</v>
      </c>
      <c r="W32" s="82"/>
      <c r="X32" s="41">
        <f t="shared" si="60"/>
        <v>113.38</v>
      </c>
      <c r="Y32" s="41">
        <f t="shared" si="60"/>
        <v>127.9</v>
      </c>
      <c r="AA32" s="182">
        <f t="shared" si="68"/>
        <v>113.3</v>
      </c>
      <c r="AB32" s="182">
        <f t="shared" si="68"/>
        <v>127.8</v>
      </c>
      <c r="AD32" s="40">
        <f t="shared" si="61"/>
        <v>94.416666666666671</v>
      </c>
      <c r="AE32" s="40">
        <f t="shared" si="61"/>
        <v>106.5</v>
      </c>
      <c r="AG32" s="40">
        <f t="shared" si="69"/>
        <v>7.9999999999998295E-2</v>
      </c>
      <c r="AH32" s="40">
        <f t="shared" si="69"/>
        <v>0.10000000000000853</v>
      </c>
      <c r="AJ32" s="40">
        <f t="shared" si="62"/>
        <v>5.59</v>
      </c>
      <c r="AK32" s="40">
        <f t="shared" si="62"/>
        <v>6.31</v>
      </c>
      <c r="AL32" s="40"/>
      <c r="AM32" s="180">
        <f t="shared" si="70"/>
        <v>38.46784000000001</v>
      </c>
      <c r="AN32" s="180">
        <f t="shared" si="71"/>
        <v>43.384639999999997</v>
      </c>
      <c r="AP32" s="76">
        <f t="shared" si="63"/>
        <v>9.1999999999999929E-2</v>
      </c>
      <c r="AQ32" s="76">
        <f t="shared" si="63"/>
        <v>9.1999999999999943E-2</v>
      </c>
      <c r="AS32" s="76">
        <f t="shared" si="64"/>
        <v>0.40715325994919566</v>
      </c>
      <c r="AT32" s="76">
        <f t="shared" si="64"/>
        <v>0.40706173766185022</v>
      </c>
      <c r="AV32" s="76">
        <f t="shared" si="65"/>
        <v>0.5</v>
      </c>
      <c r="AW32" s="76">
        <f t="shared" si="65"/>
        <v>0.5</v>
      </c>
      <c r="AX32" s="42"/>
      <c r="AY32" s="42">
        <f t="shared" si="66"/>
        <v>47.160000000000004</v>
      </c>
      <c r="AZ32" s="42">
        <f t="shared" si="66"/>
        <v>53.189999999999991</v>
      </c>
      <c r="BA32" s="42"/>
      <c r="BB32" s="76">
        <f t="shared" si="67"/>
        <v>0.49915325994919563</v>
      </c>
      <c r="BC32" s="76">
        <f t="shared" si="67"/>
        <v>0.49906173766185019</v>
      </c>
      <c r="BF32" s="40"/>
      <c r="BG32" s="40"/>
    </row>
    <row r="33" spans="1:59" x14ac:dyDescent="0.25">
      <c r="B33" s="25" t="s">
        <v>29</v>
      </c>
      <c r="C33" s="149">
        <v>7.74</v>
      </c>
      <c r="D33" s="149">
        <v>8.3800000000000008</v>
      </c>
      <c r="E33" s="41"/>
      <c r="F33" s="41">
        <f t="shared" si="54"/>
        <v>9.164159999999999</v>
      </c>
      <c r="G33" s="41">
        <f t="shared" si="54"/>
        <v>9.9219200000000001</v>
      </c>
      <c r="H33" s="82"/>
      <c r="I33" s="41">
        <f t="shared" si="55"/>
        <v>1.4241599999999988</v>
      </c>
      <c r="J33" s="41">
        <f t="shared" si="55"/>
        <v>1.5419199999999993</v>
      </c>
      <c r="K33" s="82"/>
      <c r="L33" s="41">
        <f t="shared" si="56"/>
        <v>10.076000000000001</v>
      </c>
      <c r="M33" s="41">
        <f t="shared" si="56"/>
        <v>10.912000000000001</v>
      </c>
      <c r="N33" s="82"/>
      <c r="O33" s="41">
        <f>L33-C33</f>
        <v>2.3360000000000003</v>
      </c>
      <c r="P33" s="41">
        <f>M33-D33</f>
        <v>2.532</v>
      </c>
      <c r="Q33" s="82"/>
      <c r="R33" s="76">
        <f t="shared" si="58"/>
        <v>0.1003910887631818</v>
      </c>
      <c r="S33" s="76">
        <f t="shared" si="58"/>
        <v>9.97790750177385E-2</v>
      </c>
      <c r="T33" s="82"/>
      <c r="U33" s="41">
        <f t="shared" si="59"/>
        <v>15.48</v>
      </c>
      <c r="V33" s="41">
        <f t="shared" si="59"/>
        <v>16.760000000000002</v>
      </c>
      <c r="W33" s="82"/>
      <c r="X33" s="41">
        <f t="shared" si="60"/>
        <v>18.579999999999998</v>
      </c>
      <c r="Y33" s="41">
        <f t="shared" si="60"/>
        <v>20.11</v>
      </c>
      <c r="AA33" s="182">
        <f>ROUNDDOWN(C33/(1-$X$1)*1.2,1)</f>
        <v>18.5</v>
      </c>
      <c r="AB33" s="182">
        <f>ROUNDDOWN(D33/(1-$X$1)*1.2,1)</f>
        <v>20.100000000000001</v>
      </c>
      <c r="AD33" s="40">
        <f t="shared" si="61"/>
        <v>15.416666666666668</v>
      </c>
      <c r="AE33" s="40">
        <f t="shared" si="61"/>
        <v>16.750000000000004</v>
      </c>
      <c r="AG33" s="40">
        <f t="shared" si="69"/>
        <v>7.9999999999998295E-2</v>
      </c>
      <c r="AH33" s="40">
        <f t="shared" si="69"/>
        <v>9.9999999999980105E-3</v>
      </c>
      <c r="AJ33" s="40">
        <f t="shared" si="62"/>
        <v>0.92</v>
      </c>
      <c r="AK33" s="40">
        <f t="shared" si="62"/>
        <v>0.99</v>
      </c>
      <c r="AL33" s="40"/>
      <c r="AM33" s="180">
        <f t="shared" si="70"/>
        <v>6.2358400000000032</v>
      </c>
      <c r="AN33" s="180">
        <f t="shared" si="71"/>
        <v>6.8280800000000035</v>
      </c>
      <c r="AP33" s="76">
        <f t="shared" si="63"/>
        <v>9.1999999999999915E-2</v>
      </c>
      <c r="AQ33" s="76">
        <f t="shared" si="63"/>
        <v>9.1999999999999943E-2</v>
      </c>
      <c r="AS33" s="76">
        <f t="shared" si="64"/>
        <v>0.40283204134366946</v>
      </c>
      <c r="AT33" s="76">
        <f t="shared" si="64"/>
        <v>0.40740334128878297</v>
      </c>
      <c r="AV33" s="76">
        <f t="shared" si="65"/>
        <v>0.5</v>
      </c>
      <c r="AW33" s="76">
        <f t="shared" si="65"/>
        <v>0.5</v>
      </c>
      <c r="AX33" s="42"/>
      <c r="AY33" s="42">
        <f t="shared" si="66"/>
        <v>7.6600000000000019</v>
      </c>
      <c r="AZ33" s="42">
        <f t="shared" si="66"/>
        <v>8.3700000000000028</v>
      </c>
      <c r="BA33" s="42"/>
      <c r="BB33" s="76">
        <f t="shared" si="67"/>
        <v>0.49483204134366937</v>
      </c>
      <c r="BC33" s="76">
        <f t="shared" si="67"/>
        <v>0.49940334128878294</v>
      </c>
      <c r="BF33" s="40"/>
      <c r="BG33" s="40"/>
    </row>
    <row r="34" spans="1:59" x14ac:dyDescent="0.25">
      <c r="C34" s="39"/>
      <c r="D34" s="39"/>
      <c r="E34" s="39"/>
      <c r="F34" s="39"/>
      <c r="L34" s="41"/>
      <c r="M34" s="39"/>
      <c r="U34" s="41"/>
      <c r="V34" s="41"/>
      <c r="W34" s="39"/>
      <c r="AK34" s="76"/>
      <c r="AL34" s="76"/>
      <c r="AM34" s="76"/>
    </row>
    <row r="35" spans="1:59" x14ac:dyDescent="0.25">
      <c r="A35" s="4" t="s">
        <v>34</v>
      </c>
      <c r="C35" s="40"/>
      <c r="D35" s="40"/>
      <c r="E35" s="40"/>
      <c r="F35" s="40"/>
      <c r="L35" s="40"/>
      <c r="M35" s="40"/>
      <c r="AK35" s="76"/>
      <c r="AL35" s="76"/>
      <c r="AM35" s="76"/>
    </row>
    <row r="36" spans="1:59" x14ac:dyDescent="0.25">
      <c r="C36" s="40"/>
      <c r="D36" s="40"/>
      <c r="E36" s="40"/>
      <c r="F36" s="40"/>
      <c r="M36" s="40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K36" s="76"/>
      <c r="AL36" s="76"/>
      <c r="AM36" s="76"/>
    </row>
    <row r="37" spans="1:59" x14ac:dyDescent="0.25">
      <c r="A37" s="25" t="s">
        <v>35</v>
      </c>
      <c r="B37" s="1" t="s">
        <v>36</v>
      </c>
      <c r="D37" s="40"/>
      <c r="E37" s="40"/>
      <c r="F37" s="40"/>
      <c r="G37" s="40"/>
      <c r="H37" s="40"/>
      <c r="I37" s="40"/>
      <c r="J37" s="40"/>
      <c r="K37" s="40"/>
      <c r="N37" s="40"/>
      <c r="O37" s="40"/>
      <c r="P37" s="40"/>
      <c r="Q37" s="40"/>
      <c r="R37" s="40"/>
      <c r="S37" s="40"/>
      <c r="T37" s="40"/>
      <c r="AK37" s="76"/>
      <c r="AL37" s="76"/>
      <c r="AM37" s="76"/>
    </row>
    <row r="38" spans="1:59" x14ac:dyDescent="0.25">
      <c r="A38" s="25" t="s">
        <v>37</v>
      </c>
      <c r="B38" s="1" t="s">
        <v>38</v>
      </c>
      <c r="D38" s="40"/>
      <c r="E38" s="40"/>
      <c r="F38" s="40"/>
      <c r="N38" s="40"/>
      <c r="O38" s="40"/>
      <c r="P38" s="40"/>
      <c r="Q38" s="40"/>
      <c r="R38" s="40"/>
      <c r="S38" s="40"/>
      <c r="T38" s="40"/>
      <c r="AK38" s="76"/>
      <c r="AL38" s="76"/>
      <c r="AM38" s="76"/>
    </row>
    <row r="39" spans="1:59" x14ac:dyDescent="0.25">
      <c r="A39" s="25" t="s">
        <v>39</v>
      </c>
      <c r="B39" s="1" t="s">
        <v>40</v>
      </c>
      <c r="D39" s="40"/>
      <c r="E39" s="40"/>
      <c r="F39" s="40"/>
      <c r="AK39" s="76"/>
      <c r="AL39" s="76"/>
      <c r="AM39" s="76"/>
    </row>
    <row r="40" spans="1:59" x14ac:dyDescent="0.25">
      <c r="A40" s="25" t="s">
        <v>41</v>
      </c>
      <c r="B40" s="1" t="s">
        <v>42</v>
      </c>
      <c r="D40" s="40"/>
      <c r="E40" s="40"/>
      <c r="F40" s="40"/>
      <c r="AK40" s="76"/>
      <c r="AL40" s="76"/>
      <c r="AM40" s="76"/>
    </row>
    <row r="41" spans="1:59" x14ac:dyDescent="0.25">
      <c r="A41" s="25" t="s">
        <v>43</v>
      </c>
      <c r="B41" s="1" t="s">
        <v>44</v>
      </c>
      <c r="D41" s="40"/>
      <c r="E41" s="40"/>
      <c r="F41" s="40"/>
      <c r="AK41" s="76"/>
      <c r="AL41" s="76"/>
      <c r="AM41" s="76"/>
    </row>
    <row r="42" spans="1:59" x14ac:dyDescent="0.25">
      <c r="A42" s="25" t="s">
        <v>45</v>
      </c>
      <c r="B42" s="1" t="s">
        <v>46</v>
      </c>
      <c r="D42" s="40"/>
      <c r="E42" s="40"/>
      <c r="F42" s="40"/>
      <c r="AK42" s="76"/>
      <c r="AL42" s="76"/>
      <c r="AM42" s="76"/>
    </row>
    <row r="43" spans="1:59" x14ac:dyDescent="0.25">
      <c r="A43" s="25"/>
      <c r="AK43" s="76"/>
      <c r="AL43" s="76"/>
      <c r="AM43" s="76"/>
    </row>
    <row r="44" spans="1:59" x14ac:dyDescent="0.25">
      <c r="A44" s="118" t="s">
        <v>47</v>
      </c>
      <c r="B44" s="1" t="s">
        <v>48</v>
      </c>
      <c r="G44" s="40"/>
      <c r="H44" s="40"/>
      <c r="I44" s="40"/>
      <c r="J44" s="40"/>
      <c r="K44" s="40"/>
      <c r="N44" s="40"/>
      <c r="O44" s="40"/>
      <c r="P44" s="40"/>
      <c r="Q44" s="40"/>
      <c r="R44" s="40"/>
      <c r="S44" s="40"/>
      <c r="T44" s="40"/>
      <c r="AK44" s="76"/>
      <c r="AL44" s="76"/>
      <c r="AM44" s="76"/>
    </row>
    <row r="45" spans="1:59" x14ac:dyDescent="0.25">
      <c r="A45" s="118" t="s">
        <v>49</v>
      </c>
      <c r="B45" s="52" t="s">
        <v>50</v>
      </c>
      <c r="AK45" s="76"/>
      <c r="AL45" s="76"/>
      <c r="AM45" s="76"/>
    </row>
    <row r="46" spans="1:59" x14ac:dyDescent="0.25">
      <c r="A46" s="25"/>
      <c r="AK46" s="76"/>
      <c r="AL46" s="76"/>
      <c r="AM46" s="76"/>
    </row>
    <row r="47" spans="1:59" x14ac:dyDescent="0.25">
      <c r="A47" s="164" t="s">
        <v>51</v>
      </c>
      <c r="B47" s="165" t="s">
        <v>52</v>
      </c>
      <c r="C47" s="166"/>
      <c r="D47" s="166"/>
      <c r="E47" s="166"/>
      <c r="F47" s="166"/>
      <c r="G47" s="166"/>
      <c r="H47" s="166"/>
      <c r="AK47" s="76"/>
      <c r="AL47" s="76"/>
      <c r="AM47" s="76"/>
    </row>
    <row r="48" spans="1:59" ht="47.25" customHeight="1" x14ac:dyDescent="0.25">
      <c r="A48" s="198" t="s">
        <v>53</v>
      </c>
      <c r="B48" s="216" t="s">
        <v>54</v>
      </c>
      <c r="C48" s="216"/>
      <c r="D48" s="216"/>
      <c r="E48" s="216"/>
      <c r="F48" s="216"/>
      <c r="G48" s="216"/>
      <c r="H48" s="216"/>
      <c r="I48" s="216"/>
      <c r="J48" s="216"/>
      <c r="K48" s="216"/>
      <c r="L48" s="216"/>
      <c r="M48" s="216"/>
      <c r="AK48" s="76"/>
      <c r="AL48" s="76"/>
      <c r="AM48" s="76"/>
    </row>
    <row r="49" spans="1:66" x14ac:dyDescent="0.25">
      <c r="A49" s="25"/>
    </row>
    <row r="50" spans="1:66" x14ac:dyDescent="0.25">
      <c r="A50" s="25" t="s">
        <v>55</v>
      </c>
      <c r="B50" s="1" t="s">
        <v>56</v>
      </c>
    </row>
    <row r="51" spans="1:66" x14ac:dyDescent="0.25">
      <c r="A51" s="25"/>
      <c r="B51" s="1" t="s">
        <v>57</v>
      </c>
    </row>
    <row r="52" spans="1:66" x14ac:dyDescent="0.25">
      <c r="A52" s="25"/>
      <c r="B52" s="1" t="s">
        <v>58</v>
      </c>
    </row>
    <row r="53" spans="1:66" x14ac:dyDescent="0.25">
      <c r="A53" s="25"/>
    </row>
    <row r="54" spans="1:66" s="80" customFormat="1" x14ac:dyDescent="0.25">
      <c r="A54" s="79" t="s">
        <v>59</v>
      </c>
      <c r="B54" s="80" t="s">
        <v>60</v>
      </c>
    </row>
    <row r="55" spans="1:66" x14ac:dyDescent="0.25">
      <c r="A55" s="25"/>
    </row>
    <row r="56" spans="1:66" x14ac:dyDescent="0.25">
      <c r="A56" s="25" t="s">
        <v>61</v>
      </c>
      <c r="B56" s="1" t="s">
        <v>62</v>
      </c>
    </row>
    <row r="57" spans="1:66" x14ac:dyDescent="0.25">
      <c r="A57" s="25"/>
    </row>
    <row r="58" spans="1:66" ht="45" customHeight="1" x14ac:dyDescent="0.25">
      <c r="B58" s="39"/>
      <c r="C58" s="217" t="s">
        <v>2</v>
      </c>
      <c r="D58" s="217"/>
      <c r="E58" s="90"/>
      <c r="F58" s="218" t="s">
        <v>3</v>
      </c>
      <c r="G58" s="218"/>
      <c r="H58" s="52"/>
      <c r="I58" s="212" t="s">
        <v>4</v>
      </c>
      <c r="J58" s="212"/>
      <c r="K58" s="52"/>
      <c r="L58" s="219" t="s">
        <v>5</v>
      </c>
      <c r="M58" s="219"/>
      <c r="N58" s="52"/>
      <c r="O58" s="219" t="s">
        <v>6</v>
      </c>
      <c r="P58" s="219"/>
      <c r="Q58" s="52"/>
      <c r="R58" s="219" t="s">
        <v>7</v>
      </c>
      <c r="S58" s="219"/>
      <c r="T58" s="52"/>
      <c r="U58" s="214" t="s">
        <v>8</v>
      </c>
      <c r="V58" s="214"/>
      <c r="W58" s="52"/>
      <c r="X58" s="211" t="s">
        <v>9</v>
      </c>
      <c r="Y58" s="211"/>
      <c r="AA58" s="215" t="s">
        <v>10</v>
      </c>
      <c r="AB58" s="215"/>
      <c r="AD58" s="211" t="s">
        <v>11</v>
      </c>
      <c r="AE58" s="211"/>
      <c r="AG58" s="211" t="s">
        <v>12</v>
      </c>
      <c r="AH58" s="211"/>
      <c r="AJ58" s="211" t="s">
        <v>13</v>
      </c>
      <c r="AK58" s="211"/>
      <c r="AM58" s="211" t="s">
        <v>14</v>
      </c>
      <c r="AN58" s="211"/>
      <c r="AP58" s="212" t="s">
        <v>15</v>
      </c>
      <c r="AQ58" s="212"/>
      <c r="AS58" s="211" t="s">
        <v>16</v>
      </c>
      <c r="AT58" s="211"/>
      <c r="AV58" s="213" t="s">
        <v>17</v>
      </c>
      <c r="AW58" s="213"/>
      <c r="AY58" s="213" t="s">
        <v>18</v>
      </c>
      <c r="AZ58" s="213"/>
      <c r="BB58" s="213" t="s">
        <v>19</v>
      </c>
      <c r="BC58" s="213"/>
    </row>
    <row r="59" spans="1:66" s="34" customFormat="1" x14ac:dyDescent="0.25">
      <c r="C59" s="54" t="s">
        <v>20</v>
      </c>
      <c r="D59" s="54" t="s">
        <v>21</v>
      </c>
      <c r="E59" s="54"/>
      <c r="F59" s="34" t="s">
        <v>20</v>
      </c>
      <c r="G59" s="54" t="s">
        <v>21</v>
      </c>
      <c r="I59" s="34" t="s">
        <v>20</v>
      </c>
      <c r="J59" s="54" t="s">
        <v>21</v>
      </c>
      <c r="L59" s="34" t="s">
        <v>20</v>
      </c>
      <c r="M59" s="54" t="s">
        <v>21</v>
      </c>
      <c r="O59" s="34" t="s">
        <v>20</v>
      </c>
      <c r="P59" s="54" t="s">
        <v>21</v>
      </c>
      <c r="R59" s="34" t="s">
        <v>20</v>
      </c>
      <c r="S59" s="54" t="s">
        <v>21</v>
      </c>
      <c r="U59" s="34" t="s">
        <v>20</v>
      </c>
      <c r="V59" s="34" t="s">
        <v>21</v>
      </c>
      <c r="X59" s="34" t="s">
        <v>20</v>
      </c>
      <c r="Y59" s="34" t="s">
        <v>21</v>
      </c>
      <c r="AA59" s="34" t="s">
        <v>20</v>
      </c>
      <c r="AB59" s="34" t="s">
        <v>21</v>
      </c>
      <c r="AD59" s="34" t="s">
        <v>20</v>
      </c>
      <c r="AE59" s="34" t="s">
        <v>21</v>
      </c>
      <c r="AG59" s="34" t="s">
        <v>20</v>
      </c>
      <c r="AH59" s="34" t="s">
        <v>21</v>
      </c>
      <c r="AJ59" s="34" t="s">
        <v>20</v>
      </c>
      <c r="AK59" s="34" t="s">
        <v>21</v>
      </c>
      <c r="AM59" s="34" t="s">
        <v>20</v>
      </c>
      <c r="AN59" s="34" t="s">
        <v>21</v>
      </c>
      <c r="AP59" s="34" t="s">
        <v>20</v>
      </c>
      <c r="AQ59" s="34" t="s">
        <v>21</v>
      </c>
      <c r="AS59" s="34" t="s">
        <v>20</v>
      </c>
      <c r="AT59" s="34" t="s">
        <v>21</v>
      </c>
      <c r="AV59" s="34" t="s">
        <v>20</v>
      </c>
      <c r="AW59" s="54" t="s">
        <v>21</v>
      </c>
      <c r="AY59" s="34" t="s">
        <v>20</v>
      </c>
      <c r="AZ59" s="54" t="s">
        <v>21</v>
      </c>
      <c r="BB59" s="34" t="s">
        <v>20</v>
      </c>
      <c r="BC59" s="54" t="s">
        <v>21</v>
      </c>
    </row>
    <row r="60" spans="1:66" x14ac:dyDescent="0.25">
      <c r="A60" s="25"/>
      <c r="C60" s="39"/>
      <c r="D60" s="39"/>
      <c r="E60" s="39"/>
      <c r="F60" s="39"/>
      <c r="G60" s="39"/>
      <c r="H60" s="39"/>
      <c r="I60" s="39"/>
      <c r="J60" s="39"/>
      <c r="K60" s="39"/>
      <c r="L60" s="39"/>
    </row>
    <row r="61" spans="1:66" s="52" customFormat="1" ht="60" customHeight="1" x14ac:dyDescent="0.25">
      <c r="A61" s="158" t="s">
        <v>63</v>
      </c>
      <c r="B61" s="157"/>
      <c r="C61" s="168">
        <v>15.52</v>
      </c>
      <c r="D61" s="168">
        <v>15.52</v>
      </c>
      <c r="E61" s="74"/>
      <c r="F61" s="74">
        <f t="shared" ref="F61:G61" si="72">C61*SUM(1+$G$1/$X$1)</f>
        <v>18.375679999999999</v>
      </c>
      <c r="G61" s="74">
        <f t="shared" si="72"/>
        <v>18.375679999999999</v>
      </c>
      <c r="H61" s="74"/>
      <c r="I61" s="74">
        <f t="shared" ref="I61:J61" si="73">F61-C61</f>
        <v>2.8556799999999996</v>
      </c>
      <c r="J61" s="74">
        <f t="shared" si="73"/>
        <v>2.8556799999999996</v>
      </c>
      <c r="K61" s="51"/>
      <c r="L61" s="160">
        <f t="shared" ref="L61:M61" si="74">ROUND(C61*(1+$G$1*2),2)*SUM(1+$M$1)</f>
        <v>20.218</v>
      </c>
      <c r="M61" s="160">
        <f t="shared" si="74"/>
        <v>20.218</v>
      </c>
      <c r="O61" s="74">
        <f t="shared" ref="O61:P61" si="75">L61-C61</f>
        <v>4.6980000000000004</v>
      </c>
      <c r="P61" s="74">
        <f t="shared" si="75"/>
        <v>4.6980000000000004</v>
      </c>
      <c r="R61" s="93">
        <f t="shared" ref="R61:S61" si="76">AJ61/F61</f>
        <v>0.10013234884368906</v>
      </c>
      <c r="S61" s="93">
        <f t="shared" si="76"/>
        <v>0.10013234884368906</v>
      </c>
      <c r="U61" s="74">
        <f t="shared" ref="U61:V61" si="77">SUM(C61/(1-$X$1))</f>
        <v>31.04</v>
      </c>
      <c r="V61" s="74">
        <f t="shared" si="77"/>
        <v>31.04</v>
      </c>
      <c r="X61" s="74">
        <f t="shared" ref="X61:Y61" si="78">ROUND(C61/(1-$X$1)*1.2,2)</f>
        <v>37.25</v>
      </c>
      <c r="Y61" s="74">
        <f t="shared" si="78"/>
        <v>37.25</v>
      </c>
      <c r="Z61" s="94"/>
      <c r="AA61" s="183">
        <f t="shared" ref="AA61:AB61" si="79">ROUNDDOWN(C61/(1-$X$1)*1.2,1)</f>
        <v>37.200000000000003</v>
      </c>
      <c r="AB61" s="183">
        <f t="shared" si="79"/>
        <v>37.200000000000003</v>
      </c>
      <c r="AD61" s="94">
        <f t="shared" ref="AD61:AE61" si="80">AA61/1.2</f>
        <v>31.000000000000004</v>
      </c>
      <c r="AE61" s="94">
        <f t="shared" si="80"/>
        <v>31.000000000000004</v>
      </c>
      <c r="AG61" s="94">
        <f t="shared" ref="AG61:AH61" si="81">X61-AA61</f>
        <v>4.9999999999997158E-2</v>
      </c>
      <c r="AH61" s="94">
        <f t="shared" si="81"/>
        <v>4.9999999999997158E-2</v>
      </c>
      <c r="AI61" s="94"/>
      <c r="AJ61" s="94">
        <f t="shared" ref="AJ61:AK61" si="82">ROUND(L61*(1-(1/(1+$AL$1))),2)</f>
        <v>1.84</v>
      </c>
      <c r="AK61" s="94">
        <f t="shared" si="82"/>
        <v>1.84</v>
      </c>
      <c r="AL61" s="94"/>
      <c r="AM61" s="181">
        <f t="shared" ref="AM61" si="83">SUM(U61-F61)-AG61</f>
        <v>12.614320000000003</v>
      </c>
      <c r="AN61" s="181">
        <f t="shared" ref="AN61" si="84">SUM(V61-G61)-AH61</f>
        <v>12.614320000000003</v>
      </c>
      <c r="AP61" s="135">
        <f t="shared" ref="AP61:AQ61" si="85">(SUM(F61-C61)/C61)/2</f>
        <v>9.1999999999999985E-2</v>
      </c>
      <c r="AQ61" s="135">
        <f t="shared" si="85"/>
        <v>9.1999999999999985E-2</v>
      </c>
      <c r="AS61" s="135">
        <f t="shared" ref="AS61:AT61" si="86">AM61/U61</f>
        <v>0.40638917525773205</v>
      </c>
      <c r="AT61" s="135">
        <f t="shared" si="86"/>
        <v>0.40638917525773205</v>
      </c>
      <c r="AV61" s="93">
        <f t="shared" ref="AV61:AW61" si="87">C61/U61</f>
        <v>0.5</v>
      </c>
      <c r="AW61" s="93">
        <f t="shared" si="87"/>
        <v>0.5</v>
      </c>
      <c r="AY61" s="136">
        <f t="shared" ref="AY61:AZ61" si="88">I61+AM61</f>
        <v>15.470000000000002</v>
      </c>
      <c r="AZ61" s="136">
        <f t="shared" si="88"/>
        <v>15.470000000000002</v>
      </c>
      <c r="BB61" s="93">
        <f t="shared" ref="BB61:BC61" si="89">AY61/(C61/$X$1)</f>
        <v>0.49838917525773208</v>
      </c>
      <c r="BC61" s="93">
        <f t="shared" si="89"/>
        <v>0.49838917525773208</v>
      </c>
      <c r="BK61" s="125" t="e">
        <f>SUM(U61-L61)-#REF!</f>
        <v>#REF!</v>
      </c>
      <c r="BN61" s="124" t="e">
        <f>BK61/U61</f>
        <v>#REF!</v>
      </c>
    </row>
    <row r="62" spans="1:66" x14ac:dyDescent="0.25">
      <c r="C62" s="39"/>
      <c r="D62" s="39"/>
      <c r="E62" s="39"/>
      <c r="F62" s="39"/>
      <c r="G62" s="39"/>
      <c r="H62" s="39"/>
      <c r="I62" s="39"/>
      <c r="J62" s="39"/>
      <c r="K62" s="39"/>
      <c r="L62" s="39"/>
      <c r="BN62" s="76"/>
    </row>
    <row r="63" spans="1:66" x14ac:dyDescent="0.25">
      <c r="A63" s="48" t="s">
        <v>64</v>
      </c>
      <c r="B63" s="44" t="s">
        <v>65</v>
      </c>
      <c r="C63" s="45" t="s">
        <v>66</v>
      </c>
    </row>
    <row r="64" spans="1:66" ht="29.25" customHeight="1" x14ac:dyDescent="0.25">
      <c r="A64" s="49"/>
      <c r="B64" s="209" t="s">
        <v>67</v>
      </c>
      <c r="C64" s="210" t="s">
        <v>68</v>
      </c>
      <c r="D64" s="210"/>
      <c r="E64" s="210"/>
      <c r="F64" s="210"/>
      <c r="G64" s="210"/>
      <c r="H64" s="210"/>
      <c r="I64" s="210"/>
      <c r="J64" s="210"/>
      <c r="K64" s="210"/>
      <c r="L64" s="210"/>
      <c r="M64" s="210"/>
    </row>
    <row r="65" spans="1:13" ht="29.25" customHeight="1" x14ac:dyDescent="0.25">
      <c r="A65" s="49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0"/>
    </row>
    <row r="66" spans="1:13" x14ac:dyDescent="0.25">
      <c r="A66" s="25"/>
      <c r="B66" s="44" t="s">
        <v>69</v>
      </c>
      <c r="C66" s="45" t="s">
        <v>70</v>
      </c>
    </row>
    <row r="67" spans="1:13" x14ac:dyDescent="0.25">
      <c r="A67" s="25"/>
      <c r="B67" s="44" t="s">
        <v>71</v>
      </c>
      <c r="C67" s="45" t="s">
        <v>72</v>
      </c>
    </row>
    <row r="68" spans="1:13" x14ac:dyDescent="0.25">
      <c r="A68" s="25"/>
      <c r="B68" s="44"/>
      <c r="C68" s="45"/>
    </row>
    <row r="69" spans="1:13" x14ac:dyDescent="0.25">
      <c r="A69" s="25" t="s">
        <v>73</v>
      </c>
      <c r="B69" s="1" t="s">
        <v>74</v>
      </c>
      <c r="C69" s="46" t="s">
        <v>75</v>
      </c>
      <c r="L69" s="47"/>
    </row>
    <row r="70" spans="1:13" x14ac:dyDescent="0.25">
      <c r="A70" s="25"/>
      <c r="B70" s="1" t="s">
        <v>76</v>
      </c>
      <c r="C70" s="47" t="s">
        <v>77</v>
      </c>
      <c r="L70" s="47"/>
    </row>
    <row r="71" spans="1:13" x14ac:dyDescent="0.25">
      <c r="A71" s="25"/>
      <c r="B71" s="1" t="s">
        <v>78</v>
      </c>
      <c r="C71" s="47" t="s">
        <v>79</v>
      </c>
      <c r="L71" s="47"/>
    </row>
    <row r="72" spans="1:13" x14ac:dyDescent="0.25">
      <c r="A72" s="25"/>
      <c r="B72" s="1" t="s">
        <v>80</v>
      </c>
      <c r="C72" s="47" t="s">
        <v>81</v>
      </c>
      <c r="L72" s="47"/>
    </row>
    <row r="73" spans="1:13" x14ac:dyDescent="0.25">
      <c r="A73" s="25"/>
    </row>
    <row r="74" spans="1:13" x14ac:dyDescent="0.25">
      <c r="A74" s="46" t="s">
        <v>82</v>
      </c>
      <c r="B74" s="1" t="s">
        <v>83</v>
      </c>
    </row>
    <row r="76" spans="1:13" x14ac:dyDescent="0.25">
      <c r="A76" s="119" t="s">
        <v>84</v>
      </c>
    </row>
    <row r="77" spans="1:13" x14ac:dyDescent="0.25">
      <c r="B77" s="47"/>
    </row>
    <row r="78" spans="1:13" x14ac:dyDescent="0.25">
      <c r="B78" s="47"/>
    </row>
    <row r="79" spans="1:13" x14ac:dyDescent="0.25">
      <c r="B79" s="47"/>
    </row>
  </sheetData>
  <mergeCells count="40">
    <mergeCell ref="AM1:AN1"/>
    <mergeCell ref="C2:D2"/>
    <mergeCell ref="F2:G2"/>
    <mergeCell ref="I2:J2"/>
    <mergeCell ref="L2:M2"/>
    <mergeCell ref="O2:P2"/>
    <mergeCell ref="R2:S2"/>
    <mergeCell ref="U2:V2"/>
    <mergeCell ref="X2:Y2"/>
    <mergeCell ref="AA2:AB2"/>
    <mergeCell ref="AV2:AW2"/>
    <mergeCell ref="AY2:AZ2"/>
    <mergeCell ref="BB2:BC2"/>
    <mergeCell ref="B48:M48"/>
    <mergeCell ref="C58:D58"/>
    <mergeCell ref="F58:G58"/>
    <mergeCell ref="I58:J58"/>
    <mergeCell ref="L58:M58"/>
    <mergeCell ref="O58:P58"/>
    <mergeCell ref="R58:S58"/>
    <mergeCell ref="AD2:AE2"/>
    <mergeCell ref="AG2:AH2"/>
    <mergeCell ref="AJ2:AK2"/>
    <mergeCell ref="AM2:AN2"/>
    <mergeCell ref="AP2:AQ2"/>
    <mergeCell ref="AS2:AT2"/>
    <mergeCell ref="AV58:AW58"/>
    <mergeCell ref="AY58:AZ58"/>
    <mergeCell ref="BB58:BC58"/>
    <mergeCell ref="U58:V58"/>
    <mergeCell ref="X58:Y58"/>
    <mergeCell ref="AA58:AB58"/>
    <mergeCell ref="AD58:AE58"/>
    <mergeCell ref="AG58:AH58"/>
    <mergeCell ref="AJ58:AK58"/>
    <mergeCell ref="B64:B65"/>
    <mergeCell ref="C64:M65"/>
    <mergeCell ref="AM58:AN58"/>
    <mergeCell ref="AP58:AQ58"/>
    <mergeCell ref="AS58:AT58"/>
  </mergeCells>
  <pageMargins left="0.7" right="0.7" top="0.75" bottom="0.75" header="0.3" footer="0.3"/>
  <pageSetup orientation="portrait" horizontalDpi="4294967295" verticalDpi="4294967295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AF4E6-3C85-4577-A9A9-ABE7F50048D0}">
  <sheetPr>
    <tabColor theme="6" tint="0.39997558519241921"/>
  </sheetPr>
  <dimension ref="A1:BN79"/>
  <sheetViews>
    <sheetView zoomScale="80" zoomScaleNormal="80" workbookViewId="0">
      <pane xSplit="2" ySplit="3" topLeftCell="C12" activePane="bottomRight" state="frozen"/>
      <selection pane="topRight" activeCell="C1" sqref="C1"/>
      <selection pane="bottomLeft" activeCell="A4" sqref="A4"/>
      <selection pane="bottomRight" activeCell="D34" sqref="D34"/>
    </sheetView>
  </sheetViews>
  <sheetFormatPr defaultColWidth="8.85546875" defaultRowHeight="15" x14ac:dyDescent="0.25"/>
  <cols>
    <col min="1" max="1" width="50.7109375" style="1" customWidth="1"/>
    <col min="2" max="2" width="11.5703125" style="1" customWidth="1"/>
    <col min="3" max="3" width="10.5703125" style="1" customWidth="1"/>
    <col min="4" max="4" width="7.7109375" style="1" customWidth="1"/>
    <col min="5" max="5" width="3.5703125" style="1" customWidth="1"/>
    <col min="6" max="7" width="7.7109375" style="1" customWidth="1"/>
    <col min="8" max="8" width="4" style="1" customWidth="1"/>
    <col min="9" max="10" width="6.7109375" style="1" customWidth="1"/>
    <col min="11" max="11" width="4" style="1" customWidth="1"/>
    <col min="12" max="13" width="7.7109375" style="1" customWidth="1"/>
    <col min="14" max="14" width="5.5703125" style="1" customWidth="1"/>
    <col min="15" max="16" width="7.7109375" style="1" customWidth="1"/>
    <col min="17" max="17" width="5.5703125" style="1" customWidth="1"/>
    <col min="18" max="18" width="6.5703125" style="1" bestFit="1" customWidth="1"/>
    <col min="19" max="19" width="7.85546875" style="1" bestFit="1" customWidth="1"/>
    <col min="20" max="20" width="5.5703125" style="1" customWidth="1"/>
    <col min="21" max="22" width="12.5703125" style="1" customWidth="1"/>
    <col min="23" max="23" width="3" style="1" customWidth="1"/>
    <col min="24" max="25" width="10.7109375" style="1" customWidth="1"/>
    <col min="26" max="26" width="5.7109375" style="1" bestFit="1" customWidth="1"/>
    <col min="27" max="28" width="8.140625" style="1" bestFit="1" customWidth="1"/>
    <col min="29" max="29" width="5.7109375" style="1" customWidth="1"/>
    <col min="30" max="30" width="8.28515625" style="1" customWidth="1"/>
    <col min="31" max="31" width="8.85546875" style="1" customWidth="1"/>
    <col min="32" max="32" width="5.7109375" style="1" customWidth="1"/>
    <col min="33" max="34" width="6.7109375" style="1" bestFit="1" customWidth="1"/>
    <col min="35" max="35" width="5.7109375" style="1" customWidth="1"/>
    <col min="36" max="36" width="7.140625" style="1" bestFit="1" customWidth="1"/>
    <col min="37" max="37" width="6.140625" style="1" bestFit="1" customWidth="1"/>
    <col min="38" max="38" width="7.7109375" style="1" bestFit="1" customWidth="1"/>
    <col min="39" max="40" width="8" style="1" bestFit="1" customWidth="1"/>
    <col min="41" max="41" width="3.28515625" style="1" customWidth="1"/>
    <col min="42" max="42" width="5.140625" style="1" bestFit="1" customWidth="1"/>
    <col min="43" max="43" width="6.140625" style="1" bestFit="1" customWidth="1"/>
    <col min="44" max="44" width="5.140625" style="1" customWidth="1"/>
    <col min="45" max="46" width="6.5703125" style="1" bestFit="1" customWidth="1"/>
    <col min="47" max="47" width="5.140625" style="1" customWidth="1"/>
    <col min="48" max="48" width="8.85546875" style="1" customWidth="1"/>
    <col min="49" max="49" width="8" style="1" customWidth="1"/>
    <col min="50" max="50" width="5.42578125" style="1" customWidth="1"/>
    <col min="51" max="52" width="6.7109375" style="1" customWidth="1"/>
    <col min="53" max="53" width="5.42578125" style="1" customWidth="1"/>
    <col min="54" max="55" width="8" style="1" customWidth="1"/>
    <col min="56" max="56" width="6.140625" style="1" customWidth="1"/>
    <col min="57" max="58" width="8" style="1" bestFit="1" customWidth="1"/>
    <col min="59" max="59" width="7.140625" style="1" bestFit="1" customWidth="1"/>
    <col min="60" max="60" width="6.140625" style="1" customWidth="1"/>
    <col min="61" max="62" width="6.5703125" style="1" bestFit="1" customWidth="1"/>
    <col min="63" max="64" width="8" style="1" customWidth="1"/>
    <col min="65" max="65" width="1.42578125" style="1" customWidth="1"/>
    <col min="66" max="67" width="8.7109375" style="1" customWidth="1"/>
    <col min="68" max="68" width="8.85546875" style="1" customWidth="1"/>
    <col min="69" max="16384" width="8.85546875" style="1"/>
  </cols>
  <sheetData>
    <row r="1" spans="1:62" ht="17.100000000000001" customHeight="1" thickBot="1" x14ac:dyDescent="0.3">
      <c r="A1" s="184" t="s">
        <v>89</v>
      </c>
      <c r="C1" s="171" t="s">
        <v>0</v>
      </c>
      <c r="D1" s="163">
        <v>0.06</v>
      </c>
      <c r="E1" s="38"/>
      <c r="F1" s="38"/>
      <c r="G1" s="193">
        <v>9.1999999999999998E-2</v>
      </c>
      <c r="H1" s="170" t="s">
        <v>1</v>
      </c>
      <c r="M1" s="91">
        <v>0.1</v>
      </c>
      <c r="X1" s="91">
        <v>0.5</v>
      </c>
      <c r="AL1" s="91">
        <v>0.1</v>
      </c>
      <c r="AM1" s="220"/>
      <c r="AN1" s="220"/>
    </row>
    <row r="2" spans="1:62" ht="45" customHeight="1" x14ac:dyDescent="0.25">
      <c r="B2" s="39"/>
      <c r="C2" s="217" t="s">
        <v>2</v>
      </c>
      <c r="D2" s="217"/>
      <c r="E2" s="90"/>
      <c r="F2" s="218" t="s">
        <v>3</v>
      </c>
      <c r="G2" s="218"/>
      <c r="H2" s="52"/>
      <c r="I2" s="212" t="s">
        <v>4</v>
      </c>
      <c r="J2" s="212"/>
      <c r="K2" s="52"/>
      <c r="L2" s="219" t="s">
        <v>5</v>
      </c>
      <c r="M2" s="219"/>
      <c r="N2" s="52"/>
      <c r="O2" s="219" t="s">
        <v>6</v>
      </c>
      <c r="P2" s="219"/>
      <c r="Q2" s="52"/>
      <c r="R2" s="219" t="s">
        <v>7</v>
      </c>
      <c r="S2" s="219"/>
      <c r="T2" s="52"/>
      <c r="U2" s="214" t="s">
        <v>8</v>
      </c>
      <c r="V2" s="214"/>
      <c r="W2" s="52"/>
      <c r="X2" s="211" t="s">
        <v>9</v>
      </c>
      <c r="Y2" s="211"/>
      <c r="AA2" s="215" t="s">
        <v>10</v>
      </c>
      <c r="AB2" s="215"/>
      <c r="AD2" s="211" t="s">
        <v>11</v>
      </c>
      <c r="AE2" s="211"/>
      <c r="AG2" s="211" t="s">
        <v>12</v>
      </c>
      <c r="AH2" s="211"/>
      <c r="AJ2" s="211" t="s">
        <v>13</v>
      </c>
      <c r="AK2" s="211"/>
      <c r="AM2" s="211" t="s">
        <v>14</v>
      </c>
      <c r="AN2" s="211"/>
      <c r="AP2" s="212" t="s">
        <v>15</v>
      </c>
      <c r="AQ2" s="212"/>
      <c r="AS2" s="219" t="s">
        <v>16</v>
      </c>
      <c r="AT2" s="219"/>
      <c r="AV2" s="213" t="s">
        <v>17</v>
      </c>
      <c r="AW2" s="213"/>
      <c r="AY2" s="213" t="s">
        <v>18</v>
      </c>
      <c r="AZ2" s="213"/>
      <c r="BB2" s="213" t="s">
        <v>19</v>
      </c>
      <c r="BC2" s="213"/>
    </row>
    <row r="3" spans="1:62" s="34" customFormat="1" x14ac:dyDescent="0.25">
      <c r="C3" s="54" t="s">
        <v>20</v>
      </c>
      <c r="D3" s="54" t="s">
        <v>21</v>
      </c>
      <c r="E3" s="54"/>
      <c r="F3" s="34" t="s">
        <v>20</v>
      </c>
      <c r="G3" s="54" t="s">
        <v>21</v>
      </c>
      <c r="I3" s="34" t="s">
        <v>20</v>
      </c>
      <c r="J3" s="54" t="s">
        <v>21</v>
      </c>
      <c r="L3" s="34" t="s">
        <v>20</v>
      </c>
      <c r="M3" s="54" t="s">
        <v>21</v>
      </c>
      <c r="O3" s="34" t="s">
        <v>20</v>
      </c>
      <c r="P3" s="54" t="s">
        <v>21</v>
      </c>
      <c r="R3" s="34" t="s">
        <v>20</v>
      </c>
      <c r="S3" s="54" t="s">
        <v>21</v>
      </c>
      <c r="U3" s="34" t="s">
        <v>20</v>
      </c>
      <c r="V3" s="34" t="s">
        <v>21</v>
      </c>
      <c r="X3" s="34" t="s">
        <v>20</v>
      </c>
      <c r="Y3" s="34" t="s">
        <v>21</v>
      </c>
      <c r="AA3" s="34" t="s">
        <v>20</v>
      </c>
      <c r="AB3" s="34" t="s">
        <v>21</v>
      </c>
      <c r="AD3" s="34" t="s">
        <v>20</v>
      </c>
      <c r="AE3" s="34" t="s">
        <v>21</v>
      </c>
      <c r="AG3" s="34" t="s">
        <v>20</v>
      </c>
      <c r="AH3" s="34" t="s">
        <v>21</v>
      </c>
      <c r="AJ3" s="34" t="s">
        <v>20</v>
      </c>
      <c r="AK3" s="34" t="s">
        <v>21</v>
      </c>
      <c r="AM3" s="34" t="s">
        <v>20</v>
      </c>
      <c r="AN3" s="34" t="s">
        <v>21</v>
      </c>
      <c r="AP3" s="34" t="s">
        <v>20</v>
      </c>
      <c r="AQ3" s="34" t="s">
        <v>21</v>
      </c>
      <c r="AS3" s="34" t="s">
        <v>20</v>
      </c>
      <c r="AT3" s="34" t="s">
        <v>21</v>
      </c>
      <c r="AV3" s="34" t="s">
        <v>20</v>
      </c>
      <c r="AW3" s="54" t="s">
        <v>21</v>
      </c>
      <c r="AY3" s="34" t="s">
        <v>20</v>
      </c>
      <c r="AZ3" s="54" t="s">
        <v>21</v>
      </c>
      <c r="BB3" s="34" t="s">
        <v>20</v>
      </c>
      <c r="BC3" s="54" t="s">
        <v>21</v>
      </c>
    </row>
    <row r="4" spans="1:62" x14ac:dyDescent="0.25">
      <c r="B4" s="32" t="s">
        <v>22</v>
      </c>
      <c r="C4" s="40"/>
      <c r="D4" s="40"/>
      <c r="E4" s="40"/>
      <c r="F4" s="40"/>
      <c r="L4" s="39"/>
      <c r="M4" s="41"/>
      <c r="AA4" s="39"/>
      <c r="AB4" s="39"/>
    </row>
    <row r="5" spans="1:62" x14ac:dyDescent="0.25">
      <c r="B5" s="25" t="s">
        <v>23</v>
      </c>
      <c r="C5" s="149">
        <f>ROUND('Single Trip Standard re 4Jan24'!C5*SUM(1+1*'Single Trip Standard re Jan25'!$D$1),2)</f>
        <v>7.92</v>
      </c>
      <c r="D5" s="149">
        <f>ROUND('Single Trip Standard re 4Jan24'!D5*SUM(1+1*'Single Trip Standard re Jan25'!$D$1),2)</f>
        <v>12.11</v>
      </c>
      <c r="E5" s="41"/>
      <c r="F5" s="41">
        <f t="shared" ref="F5:G9" si="0">C5*SUM(1+$G$1/$X$1)</f>
        <v>9.3772799999999989</v>
      </c>
      <c r="G5" s="41">
        <f t="shared" si="0"/>
        <v>14.338239999999999</v>
      </c>
      <c r="H5" s="82"/>
      <c r="I5" s="41">
        <f>F5-C5</f>
        <v>1.457279999999999</v>
      </c>
      <c r="J5" s="41">
        <f>G5-D5</f>
        <v>2.2282399999999996</v>
      </c>
      <c r="K5" s="82"/>
      <c r="L5" s="41">
        <f>ROUND(C5*(1+$G$1*2),2)*SUM(1+$M$1)</f>
        <v>10.318000000000001</v>
      </c>
      <c r="M5" s="41">
        <f t="shared" ref="L5:M9" si="1">ROUND(D5*(1+$G$1*2),2)*SUM(1+$M$1)</f>
        <v>15.774000000000001</v>
      </c>
      <c r="N5" s="82"/>
      <c r="O5" s="41">
        <f>L5-C5</f>
        <v>2.3980000000000015</v>
      </c>
      <c r="P5" s="41">
        <f>M5-D5</f>
        <v>3.6640000000000015</v>
      </c>
      <c r="Q5" s="82"/>
      <c r="R5" s="76">
        <f t="shared" ref="R5:S9" si="2">AJ5/F5</f>
        <v>0.10024228774228774</v>
      </c>
      <c r="S5" s="76">
        <f t="shared" si="2"/>
        <v>9.9733300600352626E-2</v>
      </c>
      <c r="T5" s="82"/>
      <c r="U5" s="41">
        <f t="shared" ref="U5:V9" si="3">SUM(C5/(1-$X$1))</f>
        <v>15.84</v>
      </c>
      <c r="V5" s="41">
        <f t="shared" si="3"/>
        <v>24.22</v>
      </c>
      <c r="W5" s="82"/>
      <c r="X5" s="41">
        <f>ROUND(C5/(1-$X$1)*1.2,2)</f>
        <v>19.010000000000002</v>
      </c>
      <c r="Y5" s="41">
        <f>ROUND(D5/(1-$X$1)*1.2,2)</f>
        <v>29.06</v>
      </c>
      <c r="AA5" s="182">
        <f>ROUNDDOWN(C5/(1-$X$1)*1.2,1)</f>
        <v>19</v>
      </c>
      <c r="AB5" s="182">
        <f>ROUNDDOWN(D5/(1-$X$1)*1.2,1)</f>
        <v>29</v>
      </c>
      <c r="AD5" s="40">
        <f>AA5/1.2</f>
        <v>15.833333333333334</v>
      </c>
      <c r="AE5" s="40">
        <f>AB5/1.2</f>
        <v>24.166666666666668</v>
      </c>
      <c r="AG5" s="40">
        <f>X5-AA5</f>
        <v>1.0000000000001563E-2</v>
      </c>
      <c r="AH5" s="40">
        <f>Y5-AB5</f>
        <v>5.9999999999998721E-2</v>
      </c>
      <c r="AJ5" s="40">
        <f t="shared" ref="AJ5:AK9" si="4">ROUND(L5*(1-(1/(1+$AL$1))),2)</f>
        <v>0.94</v>
      </c>
      <c r="AK5" s="40">
        <f t="shared" si="4"/>
        <v>1.43</v>
      </c>
      <c r="AL5" s="40"/>
      <c r="AM5" s="180">
        <f>SUM(U5-F5)-AG5</f>
        <v>6.4527199999999993</v>
      </c>
      <c r="AN5" s="180">
        <f>SUM(V5-G5)-AH5</f>
        <v>9.8217600000000012</v>
      </c>
      <c r="AP5" s="76">
        <f t="shared" ref="AP5:AQ9" si="5">(SUM(F5-C5)/C5)*$X$1</f>
        <v>9.1999999999999943E-2</v>
      </c>
      <c r="AQ5" s="76">
        <f t="shared" si="5"/>
        <v>9.1999999999999985E-2</v>
      </c>
      <c r="AS5" s="76">
        <f t="shared" ref="AS5:AT9" si="6">AM5/U5</f>
        <v>0.40736868686868682</v>
      </c>
      <c r="AT5" s="76">
        <f t="shared" si="6"/>
        <v>0.40552270850536754</v>
      </c>
      <c r="AU5" s="40"/>
      <c r="AV5" s="76">
        <f t="shared" ref="AV5:AW9" si="7">C5/U5</f>
        <v>0.5</v>
      </c>
      <c r="AW5" s="76">
        <f t="shared" si="7"/>
        <v>0.5</v>
      </c>
      <c r="AX5" s="42"/>
      <c r="AY5" s="42">
        <f t="shared" ref="AY5:AZ9" si="8">I5+AM5</f>
        <v>7.9099999999999984</v>
      </c>
      <c r="AZ5" s="42">
        <f t="shared" si="8"/>
        <v>12.05</v>
      </c>
      <c r="BA5" s="42"/>
      <c r="BB5" s="76">
        <f t="shared" ref="BB5:BC9" si="9">AY5/(C5/$X$1)</f>
        <v>0.4993686868686868</v>
      </c>
      <c r="BC5" s="76">
        <f t="shared" si="9"/>
        <v>0.49752270850536751</v>
      </c>
      <c r="BE5" s="40"/>
      <c r="BF5" s="40"/>
      <c r="BG5" s="40"/>
      <c r="BH5" s="40"/>
      <c r="BI5" s="76"/>
      <c r="BJ5" s="76"/>
    </row>
    <row r="6" spans="1:62" x14ac:dyDescent="0.25">
      <c r="B6" s="25" t="s">
        <v>24</v>
      </c>
      <c r="C6" s="149">
        <f>ROUND('Single Trip Standard re 4Jan24'!C6*SUM(1+1*'Single Trip Standard re Jan25'!$D$1),2)</f>
        <v>8.32</v>
      </c>
      <c r="D6" s="149">
        <f>ROUND('Single Trip Standard re 4Jan24'!D6*SUM(1+1*'Single Trip Standard re Jan25'!$D$1),2)</f>
        <v>12.72</v>
      </c>
      <c r="E6" s="41"/>
      <c r="F6" s="41">
        <f t="shared" si="0"/>
        <v>9.8508800000000001</v>
      </c>
      <c r="G6" s="41">
        <f t="shared" si="0"/>
        <v>15.06048</v>
      </c>
      <c r="H6" s="82"/>
      <c r="I6" s="41">
        <f t="shared" ref="I6:J9" si="10">F6-C6</f>
        <v>1.5308799999999998</v>
      </c>
      <c r="J6" s="41">
        <f t="shared" si="10"/>
        <v>2.3404799999999994</v>
      </c>
      <c r="K6" s="82"/>
      <c r="L6" s="41">
        <f t="shared" si="1"/>
        <v>10.835000000000001</v>
      </c>
      <c r="M6" s="41">
        <f t="shared" si="1"/>
        <v>16.566000000000003</v>
      </c>
      <c r="N6" s="82"/>
      <c r="O6" s="41">
        <f t="shared" ref="O6:P9" si="11">L6-C6</f>
        <v>2.5150000000000006</v>
      </c>
      <c r="P6" s="41">
        <f t="shared" si="11"/>
        <v>3.8460000000000019</v>
      </c>
      <c r="Q6" s="82"/>
      <c r="R6" s="76">
        <f t="shared" si="2"/>
        <v>0.10049863565488565</v>
      </c>
      <c r="S6" s="76">
        <f t="shared" si="2"/>
        <v>0.10026240863505015</v>
      </c>
      <c r="T6" s="82"/>
      <c r="U6" s="41">
        <f t="shared" si="3"/>
        <v>16.64</v>
      </c>
      <c r="V6" s="41">
        <f t="shared" si="3"/>
        <v>25.44</v>
      </c>
      <c r="W6" s="82"/>
      <c r="X6" s="41">
        <f t="shared" ref="X6:X9" si="12">ROUND(C6/(1-$X$1)*1.2,2)</f>
        <v>19.97</v>
      </c>
      <c r="Y6" s="41">
        <f t="shared" ref="Y6:Y9" si="13">ROUND(D6/(1-$X$1)*1.2,2)</f>
        <v>30.53</v>
      </c>
      <c r="AA6" s="182">
        <f t="shared" ref="AA6:AA9" si="14">ROUNDDOWN(C6/(1-$X$1)*1.2,1)</f>
        <v>19.899999999999999</v>
      </c>
      <c r="AB6" s="182">
        <f t="shared" ref="AB6:AB9" si="15">ROUNDDOWN(D6/(1-$X$1)*1.2,1)</f>
        <v>30.5</v>
      </c>
      <c r="AD6" s="40">
        <f t="shared" ref="AD6:AD9" si="16">AA6/1.2</f>
        <v>16.583333333333332</v>
      </c>
      <c r="AE6" s="40">
        <f t="shared" ref="AE6:AE9" si="17">AB6/1.2</f>
        <v>25.416666666666668</v>
      </c>
      <c r="AG6" s="40">
        <f t="shared" ref="AG6:AG9" si="18">X6-AA6</f>
        <v>7.0000000000000284E-2</v>
      </c>
      <c r="AH6" s="40">
        <f t="shared" ref="AH6:AH9" si="19">Y6-AB6</f>
        <v>3.0000000000001137E-2</v>
      </c>
      <c r="AJ6" s="40">
        <f t="shared" si="4"/>
        <v>0.99</v>
      </c>
      <c r="AK6" s="40">
        <f t="shared" si="4"/>
        <v>1.51</v>
      </c>
      <c r="AL6" s="40"/>
      <c r="AM6" s="180">
        <f t="shared" ref="AM6:AM9" si="20">SUM(U6-F6)-AG6</f>
        <v>6.7191200000000002</v>
      </c>
      <c r="AN6" s="180">
        <f t="shared" ref="AN6:AN9" si="21">SUM(V6-G6)-AH6</f>
        <v>10.34952</v>
      </c>
      <c r="AP6" s="76">
        <f t="shared" si="5"/>
        <v>9.1999999999999985E-2</v>
      </c>
      <c r="AQ6" s="76">
        <f t="shared" si="5"/>
        <v>9.1999999999999971E-2</v>
      </c>
      <c r="AS6" s="76">
        <f t="shared" si="6"/>
        <v>0.40379326923076925</v>
      </c>
      <c r="AT6" s="76">
        <f t="shared" si="6"/>
        <v>0.40682075471698109</v>
      </c>
      <c r="AV6" s="76">
        <f t="shared" si="7"/>
        <v>0.5</v>
      </c>
      <c r="AW6" s="76">
        <f t="shared" si="7"/>
        <v>0.5</v>
      </c>
      <c r="AX6" s="42"/>
      <c r="AY6" s="42">
        <f t="shared" si="8"/>
        <v>8.25</v>
      </c>
      <c r="AZ6" s="42">
        <f t="shared" si="8"/>
        <v>12.69</v>
      </c>
      <c r="BA6" s="42"/>
      <c r="BB6" s="76">
        <f t="shared" si="9"/>
        <v>0.49579326923076922</v>
      </c>
      <c r="BC6" s="76">
        <f t="shared" si="9"/>
        <v>0.49882075471698106</v>
      </c>
      <c r="BF6" s="40"/>
      <c r="BG6" s="40"/>
      <c r="BI6" s="76"/>
      <c r="BJ6" s="76"/>
    </row>
    <row r="7" spans="1:62" x14ac:dyDescent="0.25">
      <c r="B7" s="25" t="s">
        <v>25</v>
      </c>
      <c r="C7" s="149">
        <f>ROUND('Single Trip Standard re 4Jan24'!C7*SUM(1+1*'Single Trip Standard re Jan25'!$D$1),2)</f>
        <v>9.18</v>
      </c>
      <c r="D7" s="149">
        <f>ROUND('Single Trip Standard re 4Jan24'!D7*SUM(1+1*'Single Trip Standard re Jan25'!$D$1),2)</f>
        <v>14.05</v>
      </c>
      <c r="E7" s="41"/>
      <c r="F7" s="41">
        <f t="shared" si="0"/>
        <v>10.869119999999999</v>
      </c>
      <c r="G7" s="41">
        <f t="shared" si="0"/>
        <v>16.635200000000001</v>
      </c>
      <c r="H7" s="82"/>
      <c r="I7" s="41">
        <f t="shared" si="10"/>
        <v>1.6891199999999991</v>
      </c>
      <c r="J7" s="41">
        <f t="shared" si="10"/>
        <v>2.5852000000000004</v>
      </c>
      <c r="K7" s="82"/>
      <c r="L7" s="41">
        <f t="shared" si="1"/>
        <v>11.957000000000001</v>
      </c>
      <c r="M7" s="41">
        <f t="shared" si="1"/>
        <v>18.304000000000002</v>
      </c>
      <c r="N7" s="82"/>
      <c r="O7" s="41">
        <f t="shared" si="11"/>
        <v>2.777000000000001</v>
      </c>
      <c r="P7" s="41">
        <f t="shared" si="11"/>
        <v>4.2540000000000013</v>
      </c>
      <c r="Q7" s="82"/>
      <c r="R7" s="76">
        <f t="shared" si="2"/>
        <v>0.10028410763704883</v>
      </c>
      <c r="S7" s="76">
        <f t="shared" si="2"/>
        <v>9.9788400500144259E-2</v>
      </c>
      <c r="T7" s="82"/>
      <c r="U7" s="41">
        <f t="shared" si="3"/>
        <v>18.36</v>
      </c>
      <c r="V7" s="41">
        <f t="shared" si="3"/>
        <v>28.1</v>
      </c>
      <c r="W7" s="82"/>
      <c r="X7" s="41">
        <f t="shared" si="12"/>
        <v>22.03</v>
      </c>
      <c r="Y7" s="41">
        <f t="shared" si="13"/>
        <v>33.72</v>
      </c>
      <c r="AA7" s="182">
        <f t="shared" si="14"/>
        <v>22</v>
      </c>
      <c r="AB7" s="182">
        <f t="shared" si="15"/>
        <v>33.700000000000003</v>
      </c>
      <c r="AD7" s="40">
        <f t="shared" si="16"/>
        <v>18.333333333333336</v>
      </c>
      <c r="AE7" s="40">
        <f t="shared" si="17"/>
        <v>28.083333333333336</v>
      </c>
      <c r="AG7" s="40">
        <f t="shared" si="18"/>
        <v>3.0000000000001137E-2</v>
      </c>
      <c r="AH7" s="40">
        <f t="shared" si="19"/>
        <v>1.9999999999996021E-2</v>
      </c>
      <c r="AJ7" s="40">
        <f t="shared" si="4"/>
        <v>1.0900000000000001</v>
      </c>
      <c r="AK7" s="40">
        <f t="shared" si="4"/>
        <v>1.66</v>
      </c>
      <c r="AL7" s="40"/>
      <c r="AM7" s="180">
        <f t="shared" si="20"/>
        <v>7.4608799999999995</v>
      </c>
      <c r="AN7" s="180">
        <f t="shared" si="21"/>
        <v>11.444800000000004</v>
      </c>
      <c r="AP7" s="76">
        <f t="shared" si="5"/>
        <v>9.1999999999999957E-2</v>
      </c>
      <c r="AQ7" s="76">
        <f t="shared" si="5"/>
        <v>9.2000000000000012E-2</v>
      </c>
      <c r="AS7" s="76">
        <f t="shared" si="6"/>
        <v>0.4063660130718954</v>
      </c>
      <c r="AT7" s="76">
        <f t="shared" si="6"/>
        <v>0.40728825622775816</v>
      </c>
      <c r="AV7" s="76">
        <f t="shared" si="7"/>
        <v>0.5</v>
      </c>
      <c r="AW7" s="76">
        <f t="shared" si="7"/>
        <v>0.5</v>
      </c>
      <c r="AX7" s="42"/>
      <c r="AY7" s="42">
        <f t="shared" si="8"/>
        <v>9.1499999999999986</v>
      </c>
      <c r="AZ7" s="42">
        <f t="shared" si="8"/>
        <v>14.030000000000005</v>
      </c>
      <c r="BA7" s="42"/>
      <c r="BB7" s="76">
        <f t="shared" si="9"/>
        <v>0.49836601307189538</v>
      </c>
      <c r="BC7" s="76">
        <f t="shared" si="9"/>
        <v>0.49928825622775813</v>
      </c>
      <c r="BF7" s="40"/>
      <c r="BG7" s="40"/>
      <c r="BI7" s="76"/>
      <c r="BJ7" s="76"/>
    </row>
    <row r="8" spans="1:62" x14ac:dyDescent="0.25">
      <c r="B8" s="25" t="s">
        <v>26</v>
      </c>
      <c r="C8" s="149">
        <f>ROUND('Single Trip Standard re 4Jan24'!C8*SUM(1+1*'Single Trip Standard re Jan25'!$D$1),2)</f>
        <v>10.130000000000001</v>
      </c>
      <c r="D8" s="149">
        <f>ROUND('Single Trip Standard re 4Jan24'!D8*SUM(1+1*'Single Trip Standard re Jan25'!$D$1),2)</f>
        <v>15.47</v>
      </c>
      <c r="E8" s="41"/>
      <c r="F8" s="41">
        <f t="shared" si="0"/>
        <v>11.993920000000001</v>
      </c>
      <c r="G8" s="41">
        <f t="shared" si="0"/>
        <v>18.316479999999999</v>
      </c>
      <c r="H8" s="82"/>
      <c r="I8" s="41">
        <f t="shared" si="10"/>
        <v>1.8639200000000002</v>
      </c>
      <c r="J8" s="41">
        <f t="shared" si="10"/>
        <v>2.8464799999999979</v>
      </c>
      <c r="K8" s="82"/>
      <c r="L8" s="41">
        <f t="shared" si="1"/>
        <v>13.189000000000002</v>
      </c>
      <c r="M8" s="41">
        <f t="shared" si="1"/>
        <v>20.152000000000001</v>
      </c>
      <c r="N8" s="82"/>
      <c r="O8" s="41">
        <f t="shared" si="11"/>
        <v>3.0590000000000011</v>
      </c>
      <c r="P8" s="41">
        <f t="shared" si="11"/>
        <v>4.6820000000000004</v>
      </c>
      <c r="Q8" s="82"/>
      <c r="R8" s="76">
        <f t="shared" si="2"/>
        <v>0.10005069235079106</v>
      </c>
      <c r="S8" s="76">
        <f t="shared" si="2"/>
        <v>9.9910026380614622E-2</v>
      </c>
      <c r="T8" s="82"/>
      <c r="U8" s="41">
        <f t="shared" si="3"/>
        <v>20.260000000000002</v>
      </c>
      <c r="V8" s="41">
        <f t="shared" si="3"/>
        <v>30.94</v>
      </c>
      <c r="W8" s="82"/>
      <c r="X8" s="41">
        <f t="shared" si="12"/>
        <v>24.31</v>
      </c>
      <c r="Y8" s="41">
        <f t="shared" si="13"/>
        <v>37.130000000000003</v>
      </c>
      <c r="AA8" s="182">
        <f t="shared" si="14"/>
        <v>24.3</v>
      </c>
      <c r="AB8" s="182">
        <f t="shared" si="15"/>
        <v>37.1</v>
      </c>
      <c r="AD8" s="40">
        <f t="shared" si="16"/>
        <v>20.25</v>
      </c>
      <c r="AE8" s="40">
        <f t="shared" si="17"/>
        <v>30.916666666666668</v>
      </c>
      <c r="AG8" s="40">
        <f t="shared" si="18"/>
        <v>9.9999999999980105E-3</v>
      </c>
      <c r="AH8" s="40">
        <f t="shared" si="19"/>
        <v>3.0000000000001137E-2</v>
      </c>
      <c r="AJ8" s="40">
        <f t="shared" si="4"/>
        <v>1.2</v>
      </c>
      <c r="AK8" s="40">
        <f t="shared" si="4"/>
        <v>1.83</v>
      </c>
      <c r="AL8" s="40"/>
      <c r="AM8" s="180">
        <f t="shared" si="20"/>
        <v>8.2560800000000025</v>
      </c>
      <c r="AN8" s="180">
        <f t="shared" si="21"/>
        <v>12.593520000000002</v>
      </c>
      <c r="AP8" s="76">
        <f t="shared" si="5"/>
        <v>9.1999999999999998E-2</v>
      </c>
      <c r="AQ8" s="76">
        <f t="shared" si="5"/>
        <v>9.1999999999999929E-2</v>
      </c>
      <c r="AS8" s="76">
        <f t="shared" si="6"/>
        <v>0.40750641658440284</v>
      </c>
      <c r="AT8" s="76">
        <f t="shared" si="6"/>
        <v>0.40703038138332259</v>
      </c>
      <c r="AV8" s="76">
        <f t="shared" si="7"/>
        <v>0.5</v>
      </c>
      <c r="AW8" s="76">
        <f t="shared" si="7"/>
        <v>0.5</v>
      </c>
      <c r="AX8" s="42"/>
      <c r="AY8" s="42">
        <f t="shared" si="8"/>
        <v>10.120000000000003</v>
      </c>
      <c r="AZ8" s="42">
        <f t="shared" si="8"/>
        <v>15.44</v>
      </c>
      <c r="BA8" s="42"/>
      <c r="BB8" s="76">
        <f t="shared" si="9"/>
        <v>0.49950641658440287</v>
      </c>
      <c r="BC8" s="76">
        <f t="shared" si="9"/>
        <v>0.49903038138332251</v>
      </c>
      <c r="BF8" s="40"/>
      <c r="BG8" s="40"/>
      <c r="BI8" s="76"/>
      <c r="BJ8" s="76"/>
    </row>
    <row r="9" spans="1:62" x14ac:dyDescent="0.25">
      <c r="B9" s="25" t="s">
        <v>27</v>
      </c>
      <c r="C9" s="149">
        <f>ROUND('Single Trip Standard re 4Jan24'!C9*SUM(1+1*'Single Trip Standard re Jan25'!$D$1),2)</f>
        <v>10.15</v>
      </c>
      <c r="D9" s="149">
        <f>ROUND('Single Trip Standard re 4Jan24'!D9*SUM(1+1*'Single Trip Standard re Jan25'!$D$1),2)</f>
        <v>15.48</v>
      </c>
      <c r="E9" s="41"/>
      <c r="F9" s="41">
        <f t="shared" si="0"/>
        <v>12.0176</v>
      </c>
      <c r="G9" s="41">
        <f t="shared" si="0"/>
        <v>18.328319999999998</v>
      </c>
      <c r="H9" s="82"/>
      <c r="I9" s="41">
        <f t="shared" si="10"/>
        <v>1.8675999999999995</v>
      </c>
      <c r="J9" s="41">
        <f t="shared" si="10"/>
        <v>2.8483199999999975</v>
      </c>
      <c r="K9" s="82"/>
      <c r="L9" s="41">
        <f t="shared" si="1"/>
        <v>13.222000000000001</v>
      </c>
      <c r="M9" s="41">
        <f t="shared" si="1"/>
        <v>20.163</v>
      </c>
      <c r="N9" s="82"/>
      <c r="O9" s="41">
        <f t="shared" si="11"/>
        <v>3.072000000000001</v>
      </c>
      <c r="P9" s="41">
        <f t="shared" si="11"/>
        <v>4.6829999999999998</v>
      </c>
      <c r="Q9" s="82"/>
      <c r="R9" s="76">
        <f t="shared" si="2"/>
        <v>9.9853548129410191E-2</v>
      </c>
      <c r="S9" s="76">
        <f t="shared" si="2"/>
        <v>9.9845485019903646E-2</v>
      </c>
      <c r="T9" s="82"/>
      <c r="U9" s="41">
        <f t="shared" si="3"/>
        <v>20.3</v>
      </c>
      <c r="V9" s="41">
        <f t="shared" si="3"/>
        <v>30.96</v>
      </c>
      <c r="W9" s="82"/>
      <c r="X9" s="41">
        <f t="shared" si="12"/>
        <v>24.36</v>
      </c>
      <c r="Y9" s="41">
        <f t="shared" si="13"/>
        <v>37.15</v>
      </c>
      <c r="AA9" s="182">
        <f t="shared" si="14"/>
        <v>24.3</v>
      </c>
      <c r="AB9" s="182">
        <f t="shared" si="15"/>
        <v>37.1</v>
      </c>
      <c r="AD9" s="40">
        <f t="shared" si="16"/>
        <v>20.25</v>
      </c>
      <c r="AE9" s="40">
        <f t="shared" si="17"/>
        <v>30.916666666666668</v>
      </c>
      <c r="AG9" s="40">
        <f t="shared" si="18"/>
        <v>5.9999999999998721E-2</v>
      </c>
      <c r="AH9" s="40">
        <f t="shared" si="19"/>
        <v>4.9999999999997158E-2</v>
      </c>
      <c r="AJ9" s="40">
        <f t="shared" si="4"/>
        <v>1.2</v>
      </c>
      <c r="AK9" s="40">
        <f t="shared" si="4"/>
        <v>1.83</v>
      </c>
      <c r="AL9" s="40"/>
      <c r="AM9" s="180">
        <f t="shared" si="20"/>
        <v>8.2224000000000022</v>
      </c>
      <c r="AN9" s="180">
        <f t="shared" si="21"/>
        <v>12.581680000000006</v>
      </c>
      <c r="AP9" s="76">
        <f t="shared" si="5"/>
        <v>9.1999999999999971E-2</v>
      </c>
      <c r="AQ9" s="76">
        <f t="shared" si="5"/>
        <v>9.1999999999999915E-2</v>
      </c>
      <c r="AS9" s="76">
        <f t="shared" si="6"/>
        <v>0.40504433497536957</v>
      </c>
      <c r="AT9" s="76">
        <f t="shared" si="6"/>
        <v>0.40638501291989682</v>
      </c>
      <c r="AV9" s="76">
        <f t="shared" si="7"/>
        <v>0.5</v>
      </c>
      <c r="AW9" s="76">
        <f t="shared" si="7"/>
        <v>0.5</v>
      </c>
      <c r="AX9" s="42"/>
      <c r="AY9" s="42">
        <f t="shared" si="8"/>
        <v>10.090000000000002</v>
      </c>
      <c r="AZ9" s="42">
        <f t="shared" si="8"/>
        <v>15.430000000000003</v>
      </c>
      <c r="BA9" s="42"/>
      <c r="BB9" s="76">
        <f t="shared" si="9"/>
        <v>0.49704433497536954</v>
      </c>
      <c r="BC9" s="76">
        <f t="shared" si="9"/>
        <v>0.49838501291989673</v>
      </c>
      <c r="BF9" s="40"/>
      <c r="BG9" s="40"/>
      <c r="BI9" s="76"/>
      <c r="BJ9" s="76"/>
    </row>
    <row r="10" spans="1:62" x14ac:dyDescent="0.25">
      <c r="B10" s="25"/>
      <c r="C10" s="41"/>
      <c r="D10" s="41"/>
      <c r="E10" s="41"/>
      <c r="F10" s="41"/>
      <c r="G10" s="41"/>
      <c r="H10" s="4"/>
      <c r="I10" s="4"/>
      <c r="J10" s="4"/>
      <c r="K10" s="4"/>
      <c r="L10" s="41"/>
      <c r="M10" s="41"/>
      <c r="N10" s="4"/>
      <c r="O10" s="4"/>
      <c r="P10" s="4"/>
      <c r="Q10" s="4"/>
      <c r="R10" s="78"/>
      <c r="T10" s="4"/>
      <c r="U10" s="4"/>
      <c r="V10" s="4"/>
      <c r="W10" s="4"/>
      <c r="AJ10" s="40"/>
      <c r="AK10" s="40"/>
      <c r="AL10" s="40"/>
      <c r="AS10" s="103"/>
      <c r="AT10" s="103"/>
      <c r="AV10" s="40"/>
      <c r="AW10" s="40"/>
      <c r="BB10" s="77"/>
      <c r="BC10" s="77"/>
    </row>
    <row r="11" spans="1:62" x14ac:dyDescent="0.25">
      <c r="B11" s="32" t="s">
        <v>28</v>
      </c>
      <c r="C11" s="41"/>
      <c r="D11" s="41"/>
      <c r="E11" s="41"/>
      <c r="F11" s="41"/>
      <c r="G11" s="41"/>
      <c r="H11" s="4"/>
      <c r="I11" s="4"/>
      <c r="J11" s="4"/>
      <c r="K11" s="4"/>
      <c r="L11" s="41"/>
      <c r="M11" s="41"/>
      <c r="N11" s="4"/>
      <c r="O11" s="4"/>
      <c r="P11" s="4"/>
      <c r="Q11" s="4"/>
      <c r="R11" s="78"/>
      <c r="T11" s="4"/>
      <c r="U11" s="4"/>
      <c r="V11" s="4"/>
      <c r="W11" s="4"/>
      <c r="AJ11" s="40"/>
      <c r="AK11" s="40"/>
      <c r="AL11" s="40"/>
      <c r="AS11" s="103"/>
      <c r="AT11" s="103"/>
      <c r="AV11" s="40"/>
      <c r="AW11" s="40"/>
      <c r="BB11" s="77"/>
      <c r="BC11" s="77"/>
    </row>
    <row r="12" spans="1:62" x14ac:dyDescent="0.25">
      <c r="B12" s="25" t="s">
        <v>23</v>
      </c>
      <c r="C12" s="149">
        <f>ROUND('Single Trip Standard re 4Jan24'!C12*SUM(1+1*'Single Trip Standard re Jan25'!$D$1),2)</f>
        <v>10.01</v>
      </c>
      <c r="D12" s="149">
        <f>ROUND('Single Trip Standard re 4Jan24'!D12*SUM(1+1*'Single Trip Standard re Jan25'!$D$1),2)</f>
        <v>16.489999999999998</v>
      </c>
      <c r="E12" s="41"/>
      <c r="F12" s="41">
        <f t="shared" ref="F12:G17" si="22">C12*SUM(1+$G$1/$X$1)</f>
        <v>11.851839999999999</v>
      </c>
      <c r="G12" s="41">
        <f t="shared" si="22"/>
        <v>19.524159999999998</v>
      </c>
      <c r="H12" s="82"/>
      <c r="I12" s="41">
        <f t="shared" ref="I12:J17" si="23">F12-C12</f>
        <v>1.8418399999999995</v>
      </c>
      <c r="J12" s="41">
        <f t="shared" si="23"/>
        <v>3.03416</v>
      </c>
      <c r="K12" s="82"/>
      <c r="L12" s="41">
        <f t="shared" ref="L12:M17" si="24">ROUND(C12*(1+$G$1*2),2)*SUM(1+$M$1)</f>
        <v>13.035</v>
      </c>
      <c r="M12" s="41">
        <f t="shared" si="24"/>
        <v>21.472000000000001</v>
      </c>
      <c r="N12" s="82"/>
      <c r="O12" s="41">
        <f t="shared" ref="O12:P17" si="25">L12-C12</f>
        <v>3.0250000000000004</v>
      </c>
      <c r="P12" s="41">
        <f t="shared" si="25"/>
        <v>4.9820000000000029</v>
      </c>
      <c r="Q12" s="82"/>
      <c r="R12" s="76">
        <f t="shared" ref="R12:S17" si="26">AJ12/F12</f>
        <v>0.1004063504063504</v>
      </c>
      <c r="S12" s="76">
        <f t="shared" si="26"/>
        <v>9.987625587989446E-2</v>
      </c>
      <c r="T12" s="82"/>
      <c r="U12" s="41">
        <f t="shared" ref="U12:V17" si="27">SUM(C12/(1-$X$1))</f>
        <v>20.02</v>
      </c>
      <c r="V12" s="41">
        <f t="shared" si="27"/>
        <v>32.979999999999997</v>
      </c>
      <c r="W12" s="82"/>
      <c r="X12" s="41">
        <f t="shared" ref="X12:X17" si="28">ROUND(C12/(1-$X$1)*1.2,2)</f>
        <v>24.02</v>
      </c>
      <c r="Y12" s="41">
        <f t="shared" ref="Y12:Y17" si="29">ROUND(D12/(1-$X$1)*1.2,2)</f>
        <v>39.58</v>
      </c>
      <c r="AA12" s="182">
        <f>ROUNDDOWN(C12/(1-$X$1)*1.2,1)</f>
        <v>24</v>
      </c>
      <c r="AB12" s="182">
        <f>ROUNDDOWN(D12/(1-$X$1)*1.2,1)</f>
        <v>39.5</v>
      </c>
      <c r="AD12" s="40">
        <f t="shared" ref="AD12:AD17" si="30">AA12/1.2</f>
        <v>20</v>
      </c>
      <c r="AE12" s="40">
        <f t="shared" ref="AE12:AE17" si="31">AB12/1.2</f>
        <v>32.916666666666671</v>
      </c>
      <c r="AG12" s="40">
        <f>X12-AA12</f>
        <v>1.9999999999999574E-2</v>
      </c>
      <c r="AH12" s="40">
        <f>Y12-AB12</f>
        <v>7.9999999999998295E-2</v>
      </c>
      <c r="AJ12" s="40">
        <f t="shared" ref="AJ12:AK17" si="32">ROUND(L12*(1-(1/(1+$AL$1))),2)</f>
        <v>1.19</v>
      </c>
      <c r="AK12" s="40">
        <f t="shared" si="32"/>
        <v>1.95</v>
      </c>
      <c r="AL12" s="40"/>
      <c r="AM12" s="180">
        <f>SUM(U12-F12)-AG12</f>
        <v>8.1481600000000007</v>
      </c>
      <c r="AN12" s="180">
        <f>SUM(V12-G12)-AH12</f>
        <v>13.37584</v>
      </c>
      <c r="AP12" s="76">
        <f t="shared" ref="AP12:AQ17" si="33">(SUM(F12-C12)/C12)*$X$1</f>
        <v>9.1999999999999971E-2</v>
      </c>
      <c r="AQ12" s="76">
        <f t="shared" si="33"/>
        <v>9.2000000000000012E-2</v>
      </c>
      <c r="AS12" s="76">
        <f t="shared" ref="AS12:AT17" si="34">AM12/U12</f>
        <v>0.40700099900099906</v>
      </c>
      <c r="AT12" s="76">
        <f t="shared" si="34"/>
        <v>0.40557428744693758</v>
      </c>
      <c r="AV12" s="76">
        <f t="shared" ref="AV12:AW17" si="35">C12/U12</f>
        <v>0.5</v>
      </c>
      <c r="AW12" s="76">
        <f t="shared" si="35"/>
        <v>0.5</v>
      </c>
      <c r="AX12" s="42"/>
      <c r="AY12" s="42">
        <f t="shared" ref="AY12:AZ17" si="36">I12+AM12</f>
        <v>9.99</v>
      </c>
      <c r="AZ12" s="42">
        <f t="shared" si="36"/>
        <v>16.41</v>
      </c>
      <c r="BA12" s="42"/>
      <c r="BB12" s="76">
        <f t="shared" ref="BB12:BC17" si="37">AY12/(C12/$X$1)</f>
        <v>0.49900099900099903</v>
      </c>
      <c r="BC12" s="76">
        <f t="shared" si="37"/>
        <v>0.4975742874469376</v>
      </c>
      <c r="BF12" s="40"/>
      <c r="BG12" s="40"/>
    </row>
    <row r="13" spans="1:62" x14ac:dyDescent="0.25">
      <c r="B13" s="25" t="s">
        <v>24</v>
      </c>
      <c r="C13" s="149">
        <f>ROUND('Single Trip Standard re 4Jan24'!C13*SUM(1+1*'Single Trip Standard re Jan25'!$D$1),2)</f>
        <v>12.88</v>
      </c>
      <c r="D13" s="149">
        <f>ROUND('Single Trip Standard re 4Jan24'!D13*SUM(1+1*'Single Trip Standard re Jan25'!$D$1),2)</f>
        <v>19.73</v>
      </c>
      <c r="E13" s="41"/>
      <c r="F13" s="41">
        <f t="shared" si="22"/>
        <v>15.249919999999999</v>
      </c>
      <c r="G13" s="41">
        <f t="shared" si="22"/>
        <v>23.360319999999998</v>
      </c>
      <c r="H13" s="82"/>
      <c r="I13" s="41">
        <f t="shared" si="23"/>
        <v>2.3699199999999987</v>
      </c>
      <c r="J13" s="41">
        <f t="shared" si="23"/>
        <v>3.6303199999999975</v>
      </c>
      <c r="K13" s="82"/>
      <c r="L13" s="41">
        <f t="shared" si="24"/>
        <v>16.775000000000002</v>
      </c>
      <c r="M13" s="41">
        <f t="shared" si="24"/>
        <v>25.696000000000002</v>
      </c>
      <c r="N13" s="82"/>
      <c r="O13" s="41">
        <f t="shared" si="25"/>
        <v>3.8950000000000014</v>
      </c>
      <c r="P13" s="41">
        <f t="shared" si="25"/>
        <v>5.9660000000000011</v>
      </c>
      <c r="Q13" s="82"/>
      <c r="R13" s="76">
        <f t="shared" si="26"/>
        <v>0.10032839516535169</v>
      </c>
      <c r="S13" s="76">
        <f t="shared" si="26"/>
        <v>0.1001698606868399</v>
      </c>
      <c r="T13" s="82"/>
      <c r="U13" s="41">
        <f t="shared" si="27"/>
        <v>25.76</v>
      </c>
      <c r="V13" s="41">
        <f t="shared" si="27"/>
        <v>39.46</v>
      </c>
      <c r="W13" s="82"/>
      <c r="X13" s="41">
        <f t="shared" si="28"/>
        <v>30.91</v>
      </c>
      <c r="Y13" s="41">
        <f t="shared" si="29"/>
        <v>47.35</v>
      </c>
      <c r="AA13" s="182">
        <f t="shared" ref="AA13:AA16" si="38">ROUNDDOWN(C13/(1-$X$1)*1.2,1)</f>
        <v>30.9</v>
      </c>
      <c r="AB13" s="182">
        <f t="shared" ref="AB13:AB16" si="39">ROUNDDOWN(D13/(1-$X$1)*1.2,1)</f>
        <v>47.3</v>
      </c>
      <c r="AD13" s="40">
        <f t="shared" si="30"/>
        <v>25.75</v>
      </c>
      <c r="AE13" s="40">
        <f t="shared" si="31"/>
        <v>39.416666666666664</v>
      </c>
      <c r="AG13" s="40">
        <f t="shared" ref="AG13:AG16" si="40">X13-AA13</f>
        <v>1.0000000000001563E-2</v>
      </c>
      <c r="AH13" s="40">
        <f t="shared" ref="AH13:AH16" si="41">Y13-AB13</f>
        <v>5.0000000000004263E-2</v>
      </c>
      <c r="AJ13" s="40">
        <f t="shared" si="32"/>
        <v>1.53</v>
      </c>
      <c r="AK13" s="40">
        <f t="shared" si="32"/>
        <v>2.34</v>
      </c>
      <c r="AL13" s="40"/>
      <c r="AM13" s="180">
        <f t="shared" ref="AM13:AM16" si="42">SUM(U13-F13)-AG13</f>
        <v>10.500080000000001</v>
      </c>
      <c r="AN13" s="180">
        <f t="shared" ref="AN13:AN16" si="43">SUM(V13-G13)-AH13</f>
        <v>16.049679999999999</v>
      </c>
      <c r="AP13" s="76">
        <f t="shared" si="33"/>
        <v>9.1999999999999943E-2</v>
      </c>
      <c r="AQ13" s="76">
        <f t="shared" si="33"/>
        <v>9.1999999999999929E-2</v>
      </c>
      <c r="AS13" s="76">
        <f t="shared" si="34"/>
        <v>0.407611801242236</v>
      </c>
      <c r="AT13" s="76">
        <f t="shared" si="34"/>
        <v>0.40673289406994423</v>
      </c>
      <c r="AV13" s="76">
        <f t="shared" si="35"/>
        <v>0.5</v>
      </c>
      <c r="AW13" s="76">
        <f t="shared" si="35"/>
        <v>0.5</v>
      </c>
      <c r="AX13" s="42"/>
      <c r="AY13" s="42">
        <f t="shared" si="36"/>
        <v>12.87</v>
      </c>
      <c r="AZ13" s="42">
        <f t="shared" si="36"/>
        <v>19.679999999999996</v>
      </c>
      <c r="BA13" s="42"/>
      <c r="BB13" s="76">
        <f t="shared" si="37"/>
        <v>0.49961180124223598</v>
      </c>
      <c r="BC13" s="76">
        <f t="shared" si="37"/>
        <v>0.49873289406994414</v>
      </c>
      <c r="BF13" s="40"/>
      <c r="BG13" s="40"/>
    </row>
    <row r="14" spans="1:62" x14ac:dyDescent="0.25">
      <c r="B14" s="25" t="s">
        <v>25</v>
      </c>
      <c r="C14" s="149">
        <f>ROUND('Single Trip Standard re 4Jan24'!C14*SUM(1+1*'Single Trip Standard re Jan25'!$D$1),2)</f>
        <v>15.16</v>
      </c>
      <c r="D14" s="149">
        <f>ROUND('Single Trip Standard re 4Jan24'!D14*SUM(1+1*'Single Trip Standard re Jan25'!$D$1),2)</f>
        <v>22.13</v>
      </c>
      <c r="E14" s="41"/>
      <c r="F14" s="41">
        <f t="shared" si="22"/>
        <v>17.949439999999999</v>
      </c>
      <c r="G14" s="41">
        <f t="shared" si="22"/>
        <v>26.201919999999998</v>
      </c>
      <c r="H14" s="82"/>
      <c r="I14" s="41">
        <f t="shared" si="23"/>
        <v>2.789439999999999</v>
      </c>
      <c r="J14" s="41">
        <f t="shared" si="23"/>
        <v>4.0719199999999987</v>
      </c>
      <c r="K14" s="82"/>
      <c r="L14" s="41">
        <f t="shared" si="24"/>
        <v>19.745000000000001</v>
      </c>
      <c r="M14" s="41">
        <f t="shared" si="24"/>
        <v>28.82</v>
      </c>
      <c r="N14" s="82"/>
      <c r="O14" s="41">
        <f t="shared" si="25"/>
        <v>4.5850000000000009</v>
      </c>
      <c r="P14" s="41">
        <f t="shared" si="25"/>
        <v>6.6900000000000013</v>
      </c>
      <c r="Q14" s="82"/>
      <c r="R14" s="76">
        <f t="shared" si="26"/>
        <v>0.10028168009698353</v>
      </c>
      <c r="S14" s="76">
        <f t="shared" si="26"/>
        <v>9.9992672292717494E-2</v>
      </c>
      <c r="T14" s="82"/>
      <c r="U14" s="41">
        <f t="shared" si="27"/>
        <v>30.32</v>
      </c>
      <c r="V14" s="41">
        <f t="shared" si="27"/>
        <v>44.26</v>
      </c>
      <c r="W14" s="82"/>
      <c r="X14" s="41">
        <f t="shared" si="28"/>
        <v>36.380000000000003</v>
      </c>
      <c r="Y14" s="41">
        <f t="shared" si="29"/>
        <v>53.11</v>
      </c>
      <c r="AA14" s="182">
        <f t="shared" si="38"/>
        <v>36.299999999999997</v>
      </c>
      <c r="AB14" s="182">
        <f t="shared" si="39"/>
        <v>53.1</v>
      </c>
      <c r="AD14" s="40">
        <f t="shared" si="30"/>
        <v>30.25</v>
      </c>
      <c r="AE14" s="40">
        <f t="shared" si="31"/>
        <v>44.25</v>
      </c>
      <c r="AG14" s="40">
        <f t="shared" si="40"/>
        <v>8.00000000000054E-2</v>
      </c>
      <c r="AH14" s="40">
        <f t="shared" si="41"/>
        <v>9.9999999999980105E-3</v>
      </c>
      <c r="AJ14" s="40">
        <f t="shared" si="32"/>
        <v>1.8</v>
      </c>
      <c r="AK14" s="40">
        <f t="shared" si="32"/>
        <v>2.62</v>
      </c>
      <c r="AL14" s="40"/>
      <c r="AM14" s="180">
        <f t="shared" si="42"/>
        <v>12.290559999999996</v>
      </c>
      <c r="AN14" s="180">
        <f t="shared" si="43"/>
        <v>18.048080000000002</v>
      </c>
      <c r="AP14" s="76">
        <f t="shared" si="33"/>
        <v>9.1999999999999971E-2</v>
      </c>
      <c r="AQ14" s="76">
        <f t="shared" si="33"/>
        <v>9.1999999999999971E-2</v>
      </c>
      <c r="AS14" s="76">
        <f t="shared" si="34"/>
        <v>0.40536147757255925</v>
      </c>
      <c r="AT14" s="76">
        <f t="shared" si="34"/>
        <v>0.40777406235878905</v>
      </c>
      <c r="AV14" s="76">
        <f t="shared" si="35"/>
        <v>0.5</v>
      </c>
      <c r="AW14" s="76">
        <f t="shared" si="35"/>
        <v>0.5</v>
      </c>
      <c r="AX14" s="42"/>
      <c r="AY14" s="42">
        <f t="shared" si="36"/>
        <v>15.079999999999995</v>
      </c>
      <c r="AZ14" s="42">
        <f t="shared" si="36"/>
        <v>22.12</v>
      </c>
      <c r="BA14" s="42"/>
      <c r="BB14" s="76">
        <f t="shared" si="37"/>
        <v>0.49736147757255916</v>
      </c>
      <c r="BC14" s="76">
        <f t="shared" si="37"/>
        <v>0.49977406235878902</v>
      </c>
      <c r="BF14" s="40"/>
      <c r="BG14" s="40"/>
    </row>
    <row r="15" spans="1:62" x14ac:dyDescent="0.25">
      <c r="B15" s="25" t="s">
        <v>26</v>
      </c>
      <c r="C15" s="149">
        <f>ROUND('Single Trip Standard re 4Jan24'!C15*SUM(1+1*'Single Trip Standard re Jan25'!$D$1),2)</f>
        <v>20.03</v>
      </c>
      <c r="D15" s="149">
        <f>ROUND('Single Trip Standard re 4Jan24'!D15*SUM(1+1*'Single Trip Standard re Jan25'!$D$1),2)</f>
        <v>28.24</v>
      </c>
      <c r="E15" s="41"/>
      <c r="F15" s="41">
        <f t="shared" si="22"/>
        <v>23.715520000000001</v>
      </c>
      <c r="G15" s="41">
        <f t="shared" si="22"/>
        <v>33.436159999999994</v>
      </c>
      <c r="H15" s="82"/>
      <c r="I15" s="41">
        <f t="shared" si="23"/>
        <v>3.6855200000000004</v>
      </c>
      <c r="J15" s="41">
        <f t="shared" si="23"/>
        <v>5.1961599999999954</v>
      </c>
      <c r="K15" s="82"/>
      <c r="L15" s="41">
        <f t="shared" si="24"/>
        <v>26.092000000000002</v>
      </c>
      <c r="M15" s="41">
        <f t="shared" si="24"/>
        <v>36.783999999999999</v>
      </c>
      <c r="N15" s="82"/>
      <c r="O15" s="41">
        <f t="shared" si="25"/>
        <v>6.0620000000000012</v>
      </c>
      <c r="P15" s="41">
        <f t="shared" si="25"/>
        <v>8.5440000000000005</v>
      </c>
      <c r="Q15" s="82"/>
      <c r="R15" s="76">
        <f t="shared" si="26"/>
        <v>9.9934557623024917E-2</v>
      </c>
      <c r="S15" s="76">
        <f t="shared" si="26"/>
        <v>9.9891853609983941E-2</v>
      </c>
      <c r="T15" s="82"/>
      <c r="U15" s="41">
        <f t="shared" si="27"/>
        <v>40.06</v>
      </c>
      <c r="V15" s="41">
        <f t="shared" si="27"/>
        <v>56.48</v>
      </c>
      <c r="W15" s="82"/>
      <c r="X15" s="41">
        <f t="shared" si="28"/>
        <v>48.07</v>
      </c>
      <c r="Y15" s="41">
        <f t="shared" si="29"/>
        <v>67.78</v>
      </c>
      <c r="AA15" s="182">
        <f t="shared" si="38"/>
        <v>48</v>
      </c>
      <c r="AB15" s="182">
        <f t="shared" si="39"/>
        <v>67.7</v>
      </c>
      <c r="AD15" s="40">
        <f t="shared" si="30"/>
        <v>40</v>
      </c>
      <c r="AE15" s="40">
        <f t="shared" si="31"/>
        <v>56.416666666666671</v>
      </c>
      <c r="AG15" s="40">
        <f t="shared" si="40"/>
        <v>7.0000000000000284E-2</v>
      </c>
      <c r="AH15" s="40">
        <f t="shared" si="41"/>
        <v>7.9999999999998295E-2</v>
      </c>
      <c r="AJ15" s="40">
        <f t="shared" si="32"/>
        <v>2.37</v>
      </c>
      <c r="AK15" s="40">
        <f t="shared" si="32"/>
        <v>3.34</v>
      </c>
      <c r="AL15" s="40"/>
      <c r="AM15" s="180">
        <f t="shared" si="42"/>
        <v>16.274480000000001</v>
      </c>
      <c r="AN15" s="180">
        <f t="shared" si="43"/>
        <v>22.963840000000005</v>
      </c>
      <c r="AP15" s="76">
        <f t="shared" si="33"/>
        <v>9.1999999999999998E-2</v>
      </c>
      <c r="AQ15" s="76">
        <f t="shared" si="33"/>
        <v>9.1999999999999929E-2</v>
      </c>
      <c r="AS15" s="76">
        <f t="shared" si="34"/>
        <v>0.40625262106839738</v>
      </c>
      <c r="AT15" s="76">
        <f t="shared" si="34"/>
        <v>0.40658356940509927</v>
      </c>
      <c r="AV15" s="76">
        <f t="shared" si="35"/>
        <v>0.5</v>
      </c>
      <c r="AW15" s="76">
        <f t="shared" si="35"/>
        <v>0.5</v>
      </c>
      <c r="AX15" s="42"/>
      <c r="AY15" s="42">
        <f t="shared" si="36"/>
        <v>19.96</v>
      </c>
      <c r="AZ15" s="42">
        <f t="shared" si="36"/>
        <v>28.16</v>
      </c>
      <c r="BA15" s="42"/>
      <c r="BB15" s="76">
        <f t="shared" si="37"/>
        <v>0.49825262106839741</v>
      </c>
      <c r="BC15" s="76">
        <f t="shared" si="37"/>
        <v>0.49858356940509918</v>
      </c>
      <c r="BF15" s="40"/>
      <c r="BG15" s="40"/>
    </row>
    <row r="16" spans="1:62" x14ac:dyDescent="0.25">
      <c r="B16" s="25" t="s">
        <v>27</v>
      </c>
      <c r="C16" s="149">
        <f>ROUND('Single Trip Standard re 4Jan24'!C16*SUM(1+1*'Single Trip Standard re Jan25'!$D$1),2)</f>
        <v>23.63</v>
      </c>
      <c r="D16" s="149">
        <f>ROUND('Single Trip Standard re 4Jan24'!D16*SUM(1+1*'Single Trip Standard re Jan25'!$D$1),2)</f>
        <v>33.090000000000003</v>
      </c>
      <c r="E16" s="41"/>
      <c r="F16" s="41">
        <f t="shared" si="22"/>
        <v>27.977919999999997</v>
      </c>
      <c r="G16" s="41">
        <f t="shared" si="22"/>
        <v>39.178560000000004</v>
      </c>
      <c r="H16" s="82"/>
      <c r="I16" s="41">
        <f t="shared" si="23"/>
        <v>4.3479199999999985</v>
      </c>
      <c r="J16" s="41">
        <f t="shared" si="23"/>
        <v>6.0885600000000011</v>
      </c>
      <c r="K16" s="82"/>
      <c r="L16" s="41">
        <f t="shared" si="24"/>
        <v>30.778000000000002</v>
      </c>
      <c r="M16" s="41">
        <f t="shared" si="24"/>
        <v>43.098000000000006</v>
      </c>
      <c r="N16" s="82"/>
      <c r="O16" s="41">
        <f t="shared" si="25"/>
        <v>7.1480000000000032</v>
      </c>
      <c r="P16" s="41">
        <f t="shared" si="25"/>
        <v>10.008000000000003</v>
      </c>
      <c r="Q16" s="82"/>
      <c r="R16" s="76">
        <f t="shared" si="26"/>
        <v>0.10007891937642255</v>
      </c>
      <c r="S16" s="76">
        <f t="shared" si="26"/>
        <v>0.10005472380812361</v>
      </c>
      <c r="T16" s="82"/>
      <c r="U16" s="41">
        <f t="shared" si="27"/>
        <v>47.26</v>
      </c>
      <c r="V16" s="41">
        <f t="shared" si="27"/>
        <v>66.180000000000007</v>
      </c>
      <c r="W16" s="82"/>
      <c r="X16" s="41">
        <f t="shared" si="28"/>
        <v>56.71</v>
      </c>
      <c r="Y16" s="41">
        <f t="shared" si="29"/>
        <v>79.42</v>
      </c>
      <c r="AA16" s="182">
        <f t="shared" si="38"/>
        <v>56.7</v>
      </c>
      <c r="AB16" s="182">
        <f t="shared" si="39"/>
        <v>79.400000000000006</v>
      </c>
      <c r="AD16" s="40">
        <f t="shared" si="30"/>
        <v>47.250000000000007</v>
      </c>
      <c r="AE16" s="40">
        <f t="shared" si="31"/>
        <v>66.166666666666671</v>
      </c>
      <c r="AG16" s="40">
        <f t="shared" si="40"/>
        <v>9.9999999999980105E-3</v>
      </c>
      <c r="AH16" s="40">
        <f t="shared" si="41"/>
        <v>1.9999999999996021E-2</v>
      </c>
      <c r="AJ16" s="40">
        <f t="shared" si="32"/>
        <v>2.8</v>
      </c>
      <c r="AK16" s="40">
        <f t="shared" si="32"/>
        <v>3.92</v>
      </c>
      <c r="AL16" s="40"/>
      <c r="AM16" s="180">
        <f t="shared" si="42"/>
        <v>19.272080000000003</v>
      </c>
      <c r="AN16" s="180">
        <f t="shared" si="43"/>
        <v>26.981440000000006</v>
      </c>
      <c r="AP16" s="76">
        <f t="shared" si="33"/>
        <v>9.1999999999999971E-2</v>
      </c>
      <c r="AQ16" s="76">
        <f t="shared" si="33"/>
        <v>9.2000000000000012E-2</v>
      </c>
      <c r="AS16" s="76">
        <f t="shared" si="34"/>
        <v>0.40778840457046134</v>
      </c>
      <c r="AT16" s="76">
        <f t="shared" si="34"/>
        <v>0.40769779389543676</v>
      </c>
      <c r="AV16" s="76">
        <f t="shared" si="35"/>
        <v>0.5</v>
      </c>
      <c r="AW16" s="76">
        <f t="shared" si="35"/>
        <v>0.5</v>
      </c>
      <c r="AX16" s="42"/>
      <c r="AY16" s="42">
        <f t="shared" si="36"/>
        <v>23.62</v>
      </c>
      <c r="AZ16" s="42">
        <f t="shared" si="36"/>
        <v>33.070000000000007</v>
      </c>
      <c r="BA16" s="42"/>
      <c r="BB16" s="76">
        <f t="shared" si="37"/>
        <v>0.49978840457046131</v>
      </c>
      <c r="BC16" s="76">
        <f t="shared" si="37"/>
        <v>0.49969779389543673</v>
      </c>
      <c r="BF16" s="40"/>
      <c r="BG16" s="40"/>
    </row>
    <row r="17" spans="2:59" x14ac:dyDescent="0.25">
      <c r="B17" s="25" t="s">
        <v>29</v>
      </c>
      <c r="C17" s="149">
        <f>ROUND('Single Trip Standard re 4Jan24'!C17*SUM(1+1*'Single Trip Standard re Jan25'!$D$1),2)</f>
        <v>3.15</v>
      </c>
      <c r="D17" s="149">
        <f>ROUND('Single Trip Standard re 4Jan24'!D17*SUM(1+1*'Single Trip Standard re Jan25'!$D$1),2)</f>
        <v>4.28</v>
      </c>
      <c r="E17" s="41"/>
      <c r="F17" s="41">
        <f t="shared" si="22"/>
        <v>3.7295999999999996</v>
      </c>
      <c r="G17" s="41">
        <f t="shared" si="22"/>
        <v>5.06752</v>
      </c>
      <c r="H17" s="82"/>
      <c r="I17" s="41">
        <f t="shared" si="23"/>
        <v>0.57959999999999967</v>
      </c>
      <c r="J17" s="41">
        <f t="shared" si="23"/>
        <v>0.78751999999999978</v>
      </c>
      <c r="K17" s="82"/>
      <c r="L17" s="41">
        <f t="shared" si="24"/>
        <v>4.1030000000000006</v>
      </c>
      <c r="M17" s="41">
        <f t="shared" si="24"/>
        <v>5.5770000000000008</v>
      </c>
      <c r="N17" s="82"/>
      <c r="O17" s="41">
        <f t="shared" si="25"/>
        <v>0.95300000000000074</v>
      </c>
      <c r="P17" s="41">
        <f t="shared" si="25"/>
        <v>1.2970000000000006</v>
      </c>
      <c r="Q17" s="82"/>
      <c r="R17" s="76">
        <f t="shared" si="26"/>
        <v>9.9206349206349215E-2</v>
      </c>
      <c r="S17" s="76">
        <f t="shared" si="26"/>
        <v>0.10064094468300076</v>
      </c>
      <c r="T17" s="82"/>
      <c r="U17" s="41">
        <f t="shared" si="27"/>
        <v>6.3</v>
      </c>
      <c r="V17" s="41">
        <f t="shared" si="27"/>
        <v>8.56</v>
      </c>
      <c r="W17" s="82"/>
      <c r="X17" s="41">
        <f t="shared" si="28"/>
        <v>7.56</v>
      </c>
      <c r="Y17" s="41">
        <f t="shared" si="29"/>
        <v>10.27</v>
      </c>
      <c r="AA17" s="182">
        <f>ROUNDDOWN(C17/(1-$X$1)*1.2,1)</f>
        <v>7.5</v>
      </c>
      <c r="AB17" s="182">
        <f>ROUNDDOWN(D17/(1-$X$1)*1.2,1)</f>
        <v>10.199999999999999</v>
      </c>
      <c r="AD17" s="40">
        <f t="shared" si="30"/>
        <v>6.25</v>
      </c>
      <c r="AE17" s="40">
        <f t="shared" si="31"/>
        <v>8.5</v>
      </c>
      <c r="AG17" s="40">
        <f t="shared" ref="AG17" si="44">X17-AA17</f>
        <v>5.9999999999999609E-2</v>
      </c>
      <c r="AH17" s="40">
        <f t="shared" ref="AH17" si="45">Y17-AB17</f>
        <v>7.0000000000000284E-2</v>
      </c>
      <c r="AJ17" s="40">
        <f t="shared" si="32"/>
        <v>0.37</v>
      </c>
      <c r="AK17" s="40">
        <f t="shared" si="32"/>
        <v>0.51</v>
      </c>
      <c r="AL17" s="40"/>
      <c r="AM17" s="180">
        <f t="shared" ref="AM17" si="46">SUM(U17-F17)-AG17</f>
        <v>2.5104000000000006</v>
      </c>
      <c r="AN17" s="180">
        <f t="shared" ref="AN17" si="47">SUM(V17-G17)-AH17</f>
        <v>3.4224800000000002</v>
      </c>
      <c r="AP17" s="76">
        <f t="shared" si="33"/>
        <v>9.1999999999999957E-2</v>
      </c>
      <c r="AQ17" s="76">
        <f t="shared" si="33"/>
        <v>9.1999999999999971E-2</v>
      </c>
      <c r="AS17" s="76">
        <f t="shared" si="34"/>
        <v>0.39847619047619059</v>
      </c>
      <c r="AT17" s="76">
        <f t="shared" si="34"/>
        <v>0.39982242990654204</v>
      </c>
      <c r="AV17" s="76">
        <f t="shared" si="35"/>
        <v>0.5</v>
      </c>
      <c r="AW17" s="76">
        <f t="shared" si="35"/>
        <v>0.5</v>
      </c>
      <c r="AX17" s="42"/>
      <c r="AY17" s="42">
        <f t="shared" si="36"/>
        <v>3.0900000000000003</v>
      </c>
      <c r="AZ17" s="42">
        <f t="shared" si="36"/>
        <v>4.21</v>
      </c>
      <c r="BA17" s="42"/>
      <c r="BB17" s="76">
        <f t="shared" si="37"/>
        <v>0.49047619047619057</v>
      </c>
      <c r="BC17" s="76">
        <f t="shared" si="37"/>
        <v>0.49182242990654201</v>
      </c>
      <c r="BF17" s="40"/>
      <c r="BG17" s="40"/>
    </row>
    <row r="18" spans="2:59" x14ac:dyDescent="0.25">
      <c r="B18" s="25"/>
      <c r="C18" s="41"/>
      <c r="D18" s="41"/>
      <c r="E18" s="41"/>
      <c r="F18" s="41"/>
      <c r="G18" s="41"/>
      <c r="H18" s="82"/>
      <c r="I18" s="82"/>
      <c r="J18" s="82"/>
      <c r="K18" s="82"/>
      <c r="L18" s="41"/>
      <c r="M18" s="41"/>
      <c r="N18" s="4"/>
      <c r="O18" s="4"/>
      <c r="P18" s="4"/>
      <c r="Q18" s="4"/>
      <c r="R18" s="78"/>
      <c r="T18" s="4"/>
      <c r="U18" s="4"/>
      <c r="V18" s="4"/>
      <c r="W18" s="4"/>
      <c r="AJ18" s="40"/>
      <c r="AK18" s="40"/>
      <c r="AL18" s="40"/>
      <c r="AS18" s="103"/>
      <c r="AT18" s="103"/>
      <c r="AV18" s="40"/>
      <c r="AW18" s="40"/>
      <c r="BB18" s="77"/>
      <c r="BC18" s="77"/>
    </row>
    <row r="19" spans="2:59" x14ac:dyDescent="0.25">
      <c r="B19" s="32" t="s">
        <v>30</v>
      </c>
      <c r="C19" s="41"/>
      <c r="D19" s="41"/>
      <c r="E19" s="41"/>
      <c r="F19" s="41"/>
      <c r="G19" s="41"/>
      <c r="H19" s="82"/>
      <c r="I19" s="82"/>
      <c r="J19" s="82"/>
      <c r="K19" s="82"/>
      <c r="L19" s="41"/>
      <c r="M19" s="41"/>
      <c r="N19" s="4"/>
      <c r="O19" s="4"/>
      <c r="P19" s="4"/>
      <c r="Q19" s="4"/>
      <c r="R19" s="78"/>
      <c r="T19" s="4"/>
      <c r="U19" s="4"/>
      <c r="V19" s="4"/>
      <c r="W19" s="4"/>
      <c r="AJ19" s="40"/>
      <c r="AK19" s="40"/>
      <c r="AL19" s="40"/>
      <c r="AS19" s="103"/>
      <c r="AT19" s="103"/>
      <c r="AV19" s="40"/>
      <c r="AW19" s="40"/>
      <c r="BB19" s="77"/>
      <c r="BC19" s="77"/>
    </row>
    <row r="20" spans="2:59" x14ac:dyDescent="0.25">
      <c r="B20" s="25" t="s">
        <v>31</v>
      </c>
      <c r="C20" s="149">
        <f>ROUND('Single Trip Standard re 4Jan24'!C20*SUM(1+1*'Single Trip Standard re Jan25'!$D$1),2)</f>
        <v>21.08</v>
      </c>
      <c r="D20" s="149">
        <f>ROUND('Single Trip Standard re 4Jan24'!D20*SUM(1+1*'Single Trip Standard re Jan25'!$D$1),2)</f>
        <v>26.14</v>
      </c>
      <c r="E20" s="41"/>
      <c r="F20" s="41">
        <f t="shared" ref="F20:G25" si="48">C20*SUM(1+$G$1/$X$1)</f>
        <v>24.958719999999996</v>
      </c>
      <c r="G20" s="41">
        <f t="shared" si="48"/>
        <v>30.949759999999998</v>
      </c>
      <c r="H20" s="82"/>
      <c r="I20" s="41">
        <f t="shared" ref="I20:J25" si="49">F20-C20</f>
        <v>3.8787199999999977</v>
      </c>
      <c r="J20" s="41">
        <f t="shared" si="49"/>
        <v>4.8097599999999971</v>
      </c>
      <c r="K20" s="82"/>
      <c r="L20" s="41">
        <f t="shared" ref="L20:M25" si="50">ROUND(C20*(1+$G$1*2),2)*SUM(1+$M$1)</f>
        <v>27.456000000000003</v>
      </c>
      <c r="M20" s="41">
        <f t="shared" si="50"/>
        <v>34.045000000000002</v>
      </c>
      <c r="N20" s="82"/>
      <c r="O20" s="41">
        <f t="shared" ref="O20:P25" si="51">L20-C20</f>
        <v>6.3760000000000048</v>
      </c>
      <c r="P20" s="41">
        <f t="shared" si="51"/>
        <v>7.9050000000000011</v>
      </c>
      <c r="Q20" s="82"/>
      <c r="R20" s="76">
        <f t="shared" ref="R20:S25" si="52">AJ20/F20</f>
        <v>0.10016539309708192</v>
      </c>
      <c r="S20" s="76">
        <f t="shared" si="52"/>
        <v>0.10016232759155484</v>
      </c>
      <c r="T20" s="82"/>
      <c r="U20" s="41">
        <f t="shared" ref="U20:V25" si="53">SUM(C20/(1-$X$1))</f>
        <v>42.16</v>
      </c>
      <c r="V20" s="41">
        <f t="shared" si="53"/>
        <v>52.28</v>
      </c>
      <c r="W20" s="82"/>
      <c r="X20" s="41">
        <f t="shared" ref="X20:X25" si="54">ROUND(C20/(1-$X$1)*1.2,2)</f>
        <v>50.59</v>
      </c>
      <c r="Y20" s="41">
        <f t="shared" ref="Y20:Y25" si="55">ROUND(D20/(1-$X$1)*1.2,2)</f>
        <v>62.74</v>
      </c>
      <c r="AA20" s="182">
        <f>ROUNDDOWN(C20/(1-$X$1)*1.2,1)</f>
        <v>50.5</v>
      </c>
      <c r="AB20" s="182">
        <f>ROUNDDOWN(D20/(1-$X$1)*1.2,1)</f>
        <v>62.7</v>
      </c>
      <c r="AD20" s="40">
        <f t="shared" ref="AD20:AD25" si="56">AA20/1.2</f>
        <v>42.083333333333336</v>
      </c>
      <c r="AE20" s="40">
        <f t="shared" ref="AE20:AE25" si="57">AB20/1.2</f>
        <v>52.250000000000007</v>
      </c>
      <c r="AG20" s="40">
        <f>X20-AA20</f>
        <v>9.0000000000003411E-2</v>
      </c>
      <c r="AH20" s="40">
        <f>Y20-AB20</f>
        <v>3.9999999999999147E-2</v>
      </c>
      <c r="AJ20" s="40">
        <f t="shared" ref="AJ20:AK25" si="58">ROUND(L20*(1-(1/(1+$AL$1))),2)</f>
        <v>2.5</v>
      </c>
      <c r="AK20" s="40">
        <f t="shared" si="58"/>
        <v>3.1</v>
      </c>
      <c r="AL20" s="40"/>
      <c r="AM20" s="180">
        <f>SUM(U20-F20)-AG20</f>
        <v>17.111279999999997</v>
      </c>
      <c r="AN20" s="180">
        <f>SUM(V20-G20)-AH20</f>
        <v>21.290240000000004</v>
      </c>
      <c r="AP20" s="76">
        <f t="shared" ref="AP20:AQ25" si="59">(SUM(F20-C20)/C20)*$X$1</f>
        <v>9.1999999999999957E-2</v>
      </c>
      <c r="AQ20" s="76">
        <f t="shared" si="59"/>
        <v>9.1999999999999943E-2</v>
      </c>
      <c r="AS20" s="76">
        <f t="shared" ref="AS20:AT25" si="60">AM20/U20</f>
        <v>0.40586527514231496</v>
      </c>
      <c r="AT20" s="76">
        <f t="shared" si="60"/>
        <v>0.40723488905891364</v>
      </c>
      <c r="AV20" s="76">
        <f t="shared" ref="AV20:AW25" si="61">C20/U20</f>
        <v>0.5</v>
      </c>
      <c r="AW20" s="76">
        <f t="shared" si="61"/>
        <v>0.5</v>
      </c>
      <c r="AX20" s="42"/>
      <c r="AY20" s="42">
        <f t="shared" ref="AY20:AZ25" si="62">I20+AM20</f>
        <v>20.989999999999995</v>
      </c>
      <c r="AZ20" s="42">
        <f t="shared" si="62"/>
        <v>26.1</v>
      </c>
      <c r="BA20" s="42"/>
      <c r="BB20" s="76">
        <f t="shared" ref="BB20:BC25" si="63">AY20/(C20/$X$1)</f>
        <v>0.49786527514231493</v>
      </c>
      <c r="BC20" s="76">
        <f t="shared" si="63"/>
        <v>0.49923488905891356</v>
      </c>
      <c r="BF20" s="40"/>
      <c r="BG20" s="40"/>
    </row>
    <row r="21" spans="2:59" x14ac:dyDescent="0.25">
      <c r="B21" s="25" t="s">
        <v>24</v>
      </c>
      <c r="C21" s="149">
        <f>ROUND('Single Trip Standard re 4Jan24'!C21*SUM(1+1*'Single Trip Standard re Jan25'!$D$1),2)</f>
        <v>25.38</v>
      </c>
      <c r="D21" s="149">
        <f>ROUND('Single Trip Standard re 4Jan24'!D21*SUM(1+1*'Single Trip Standard re Jan25'!$D$1),2)</f>
        <v>29.12</v>
      </c>
      <c r="E21" s="41"/>
      <c r="F21" s="41">
        <f t="shared" si="48"/>
        <v>30.049919999999997</v>
      </c>
      <c r="G21" s="41">
        <f t="shared" si="48"/>
        <v>34.478079999999999</v>
      </c>
      <c r="H21" s="82"/>
      <c r="I21" s="41">
        <f t="shared" si="49"/>
        <v>4.6699199999999976</v>
      </c>
      <c r="J21" s="41">
        <f t="shared" si="49"/>
        <v>5.3580799999999975</v>
      </c>
      <c r="K21" s="82"/>
      <c r="L21" s="41">
        <f t="shared" si="50"/>
        <v>33.055000000000007</v>
      </c>
      <c r="M21" s="41">
        <f t="shared" si="50"/>
        <v>37.927999999999997</v>
      </c>
      <c r="N21" s="82"/>
      <c r="O21" s="41">
        <f t="shared" si="51"/>
        <v>7.6750000000000078</v>
      </c>
      <c r="P21" s="41">
        <f t="shared" si="51"/>
        <v>8.8079999999999963</v>
      </c>
      <c r="Q21" s="82"/>
      <c r="R21" s="76">
        <f t="shared" si="52"/>
        <v>0.10016665601771985</v>
      </c>
      <c r="S21" s="76">
        <f t="shared" si="52"/>
        <v>0.10006357662607664</v>
      </c>
      <c r="T21" s="82"/>
      <c r="U21" s="41">
        <f t="shared" si="53"/>
        <v>50.76</v>
      </c>
      <c r="V21" s="41">
        <f t="shared" si="53"/>
        <v>58.24</v>
      </c>
      <c r="W21" s="82"/>
      <c r="X21" s="41">
        <f t="shared" si="54"/>
        <v>60.91</v>
      </c>
      <c r="Y21" s="41">
        <f t="shared" si="55"/>
        <v>69.89</v>
      </c>
      <c r="AA21" s="182">
        <f t="shared" ref="AA21:AA24" si="64">ROUNDDOWN(C21/(1-$X$1)*1.2,1)</f>
        <v>60.9</v>
      </c>
      <c r="AB21" s="182">
        <f t="shared" ref="AB21:AB24" si="65">ROUNDDOWN(D21/(1-$X$1)*1.2,1)</f>
        <v>69.8</v>
      </c>
      <c r="AD21" s="40">
        <f t="shared" si="56"/>
        <v>50.75</v>
      </c>
      <c r="AE21" s="40">
        <f t="shared" si="57"/>
        <v>58.166666666666664</v>
      </c>
      <c r="AG21" s="40">
        <f t="shared" ref="AG21:AG25" si="66">X21-AA21</f>
        <v>9.9999999999980105E-3</v>
      </c>
      <c r="AH21" s="40">
        <f t="shared" ref="AH21:AH25" si="67">Y21-AB21</f>
        <v>9.0000000000003411E-2</v>
      </c>
      <c r="AJ21" s="40">
        <f t="shared" si="58"/>
        <v>3.01</v>
      </c>
      <c r="AK21" s="40">
        <f t="shared" si="58"/>
        <v>3.45</v>
      </c>
      <c r="AL21" s="40"/>
      <c r="AM21" s="180">
        <f t="shared" ref="AM21:AM25" si="68">SUM(U21-F21)-AG21</f>
        <v>20.700080000000003</v>
      </c>
      <c r="AN21" s="180">
        <f t="shared" ref="AN21:AN25" si="69">SUM(V21-G21)-AH21</f>
        <v>23.67192</v>
      </c>
      <c r="AP21" s="76">
        <f t="shared" si="59"/>
        <v>9.1999999999999957E-2</v>
      </c>
      <c r="AQ21" s="76">
        <f t="shared" si="59"/>
        <v>9.1999999999999957E-2</v>
      </c>
      <c r="AS21" s="76">
        <f t="shared" si="60"/>
        <v>0.4078029944838456</v>
      </c>
      <c r="AT21" s="76">
        <f t="shared" si="60"/>
        <v>0.40645467032967031</v>
      </c>
      <c r="AV21" s="76">
        <f t="shared" si="61"/>
        <v>0.5</v>
      </c>
      <c r="AW21" s="76">
        <f t="shared" si="61"/>
        <v>0.5</v>
      </c>
      <c r="AX21" s="42"/>
      <c r="AY21" s="42">
        <f t="shared" si="62"/>
        <v>25.37</v>
      </c>
      <c r="AZ21" s="42">
        <f t="shared" si="62"/>
        <v>29.029999999999998</v>
      </c>
      <c r="BA21" s="42"/>
      <c r="BB21" s="76">
        <f t="shared" si="63"/>
        <v>0.49980299448384558</v>
      </c>
      <c r="BC21" s="76">
        <f t="shared" si="63"/>
        <v>0.49845467032967028</v>
      </c>
      <c r="BF21" s="40"/>
      <c r="BG21" s="40"/>
    </row>
    <row r="22" spans="2:59" x14ac:dyDescent="0.25">
      <c r="B22" s="25" t="s">
        <v>25</v>
      </c>
      <c r="C22" s="149">
        <f>ROUND('Single Trip Standard re 4Jan24'!C22*SUM(1+1*'Single Trip Standard re Jan25'!$D$1),2)</f>
        <v>30.97</v>
      </c>
      <c r="D22" s="149">
        <f>ROUND('Single Trip Standard re 4Jan24'!D22*SUM(1+1*'Single Trip Standard re Jan25'!$D$1),2)</f>
        <v>35.799999999999997</v>
      </c>
      <c r="E22" s="41"/>
      <c r="F22" s="41">
        <f t="shared" si="48"/>
        <v>36.668479999999995</v>
      </c>
      <c r="G22" s="41">
        <f t="shared" si="48"/>
        <v>42.387199999999993</v>
      </c>
      <c r="H22" s="82"/>
      <c r="I22" s="41">
        <f t="shared" si="49"/>
        <v>5.6984799999999964</v>
      </c>
      <c r="J22" s="41">
        <f t="shared" si="49"/>
        <v>6.5871999999999957</v>
      </c>
      <c r="K22" s="82"/>
      <c r="L22" s="41">
        <f t="shared" si="50"/>
        <v>40.337000000000003</v>
      </c>
      <c r="M22" s="41">
        <f t="shared" si="50"/>
        <v>46.629000000000005</v>
      </c>
      <c r="N22" s="82"/>
      <c r="O22" s="41">
        <f t="shared" si="51"/>
        <v>9.3670000000000044</v>
      </c>
      <c r="P22" s="41">
        <f t="shared" si="51"/>
        <v>10.829000000000008</v>
      </c>
      <c r="Q22" s="82"/>
      <c r="R22" s="76">
        <f t="shared" si="52"/>
        <v>0.10008595938528132</v>
      </c>
      <c r="S22" s="76">
        <f t="shared" si="52"/>
        <v>0.10003019779556095</v>
      </c>
      <c r="T22" s="82"/>
      <c r="U22" s="41">
        <f t="shared" si="53"/>
        <v>61.94</v>
      </c>
      <c r="V22" s="41">
        <f t="shared" si="53"/>
        <v>71.599999999999994</v>
      </c>
      <c r="W22" s="82"/>
      <c r="X22" s="41">
        <f t="shared" si="54"/>
        <v>74.33</v>
      </c>
      <c r="Y22" s="41">
        <f t="shared" si="55"/>
        <v>85.92</v>
      </c>
      <c r="AA22" s="182">
        <f t="shared" si="64"/>
        <v>74.3</v>
      </c>
      <c r="AB22" s="182">
        <f t="shared" si="65"/>
        <v>85.9</v>
      </c>
      <c r="AD22" s="40">
        <f t="shared" si="56"/>
        <v>61.916666666666664</v>
      </c>
      <c r="AE22" s="40">
        <f t="shared" si="57"/>
        <v>71.583333333333343</v>
      </c>
      <c r="AG22" s="40">
        <f t="shared" si="66"/>
        <v>3.0000000000001137E-2</v>
      </c>
      <c r="AH22" s="40">
        <f t="shared" si="67"/>
        <v>1.9999999999996021E-2</v>
      </c>
      <c r="AJ22" s="40">
        <f t="shared" si="58"/>
        <v>3.67</v>
      </c>
      <c r="AK22" s="40">
        <f t="shared" si="58"/>
        <v>4.24</v>
      </c>
      <c r="AL22" s="40"/>
      <c r="AM22" s="180">
        <f t="shared" si="68"/>
        <v>25.241520000000001</v>
      </c>
      <c r="AN22" s="180">
        <f t="shared" si="69"/>
        <v>29.192800000000005</v>
      </c>
      <c r="AP22" s="76">
        <f t="shared" si="59"/>
        <v>9.1999999999999943E-2</v>
      </c>
      <c r="AQ22" s="76">
        <f t="shared" si="59"/>
        <v>9.1999999999999943E-2</v>
      </c>
      <c r="AS22" s="76">
        <f t="shared" si="60"/>
        <v>0.40751566031643527</v>
      </c>
      <c r="AT22" s="76">
        <f t="shared" si="60"/>
        <v>0.40772067039106158</v>
      </c>
      <c r="AV22" s="76">
        <f t="shared" si="61"/>
        <v>0.5</v>
      </c>
      <c r="AW22" s="76">
        <f t="shared" si="61"/>
        <v>0.5</v>
      </c>
      <c r="AX22" s="42"/>
      <c r="AY22" s="42">
        <f t="shared" si="62"/>
        <v>30.939999999999998</v>
      </c>
      <c r="AZ22" s="42">
        <f t="shared" si="62"/>
        <v>35.78</v>
      </c>
      <c r="BA22" s="42"/>
      <c r="BB22" s="76">
        <f t="shared" si="63"/>
        <v>0.49951566031643524</v>
      </c>
      <c r="BC22" s="76">
        <f t="shared" si="63"/>
        <v>0.49972067039106149</v>
      </c>
      <c r="BF22" s="40"/>
      <c r="BG22" s="40"/>
    </row>
    <row r="23" spans="2:59" x14ac:dyDescent="0.25">
      <c r="B23" s="25" t="s">
        <v>26</v>
      </c>
      <c r="C23" s="149">
        <f>ROUND('Single Trip Standard re 4Jan24'!C23*SUM(1+1*'Single Trip Standard re Jan25'!$D$1),2)</f>
        <v>38.26</v>
      </c>
      <c r="D23" s="149">
        <f>ROUND('Single Trip Standard re 4Jan24'!D23*SUM(1+1*'Single Trip Standard re Jan25'!$D$1),2)</f>
        <v>44.16</v>
      </c>
      <c r="E23" s="41"/>
      <c r="F23" s="41">
        <f t="shared" si="48"/>
        <v>45.299839999999996</v>
      </c>
      <c r="G23" s="41">
        <f t="shared" si="48"/>
        <v>52.285439999999994</v>
      </c>
      <c r="H23" s="82"/>
      <c r="I23" s="41">
        <f t="shared" si="49"/>
        <v>7.0398399999999981</v>
      </c>
      <c r="J23" s="41">
        <f t="shared" si="49"/>
        <v>8.1254399999999976</v>
      </c>
      <c r="K23" s="82"/>
      <c r="L23" s="41">
        <f t="shared" si="50"/>
        <v>49.83</v>
      </c>
      <c r="M23" s="41">
        <f t="shared" si="50"/>
        <v>57.519000000000005</v>
      </c>
      <c r="N23" s="82"/>
      <c r="O23" s="41">
        <f t="shared" si="51"/>
        <v>11.57</v>
      </c>
      <c r="P23" s="41">
        <f t="shared" si="51"/>
        <v>13.359000000000009</v>
      </c>
      <c r="Q23" s="82"/>
      <c r="R23" s="76">
        <f t="shared" si="52"/>
        <v>0.10000035320213053</v>
      </c>
      <c r="S23" s="76">
        <f t="shared" si="52"/>
        <v>0.10002784714061889</v>
      </c>
      <c r="T23" s="82"/>
      <c r="U23" s="41">
        <f t="shared" si="53"/>
        <v>76.52</v>
      </c>
      <c r="V23" s="41">
        <f t="shared" si="53"/>
        <v>88.32</v>
      </c>
      <c r="W23" s="82"/>
      <c r="X23" s="41">
        <f t="shared" si="54"/>
        <v>91.82</v>
      </c>
      <c r="Y23" s="41">
        <f t="shared" si="55"/>
        <v>105.98</v>
      </c>
      <c r="AA23" s="182">
        <f t="shared" si="64"/>
        <v>91.8</v>
      </c>
      <c r="AB23" s="182">
        <f t="shared" si="65"/>
        <v>105.9</v>
      </c>
      <c r="AD23" s="40">
        <f t="shared" si="56"/>
        <v>76.5</v>
      </c>
      <c r="AE23" s="40">
        <f t="shared" si="57"/>
        <v>88.250000000000014</v>
      </c>
      <c r="AG23" s="40">
        <f t="shared" si="66"/>
        <v>1.9999999999996021E-2</v>
      </c>
      <c r="AH23" s="40">
        <f t="shared" si="67"/>
        <v>7.9999999999998295E-2</v>
      </c>
      <c r="AJ23" s="40">
        <f t="shared" si="58"/>
        <v>4.53</v>
      </c>
      <c r="AK23" s="40">
        <f t="shared" si="58"/>
        <v>5.23</v>
      </c>
      <c r="AL23" s="40"/>
      <c r="AM23" s="180">
        <f t="shared" si="68"/>
        <v>31.200160000000004</v>
      </c>
      <c r="AN23" s="180">
        <f t="shared" si="69"/>
        <v>35.954560000000001</v>
      </c>
      <c r="AP23" s="76">
        <f t="shared" si="59"/>
        <v>9.1999999999999985E-2</v>
      </c>
      <c r="AQ23" s="76">
        <f t="shared" si="59"/>
        <v>9.1999999999999985E-2</v>
      </c>
      <c r="AS23" s="76">
        <f t="shared" si="60"/>
        <v>0.40773863042341879</v>
      </c>
      <c r="AT23" s="76">
        <f t="shared" si="60"/>
        <v>0.40709420289855075</v>
      </c>
      <c r="AV23" s="76">
        <f t="shared" si="61"/>
        <v>0.5</v>
      </c>
      <c r="AW23" s="76">
        <f t="shared" si="61"/>
        <v>0.5</v>
      </c>
      <c r="AX23" s="42"/>
      <c r="AY23" s="42">
        <f t="shared" si="62"/>
        <v>38.24</v>
      </c>
      <c r="AZ23" s="42">
        <f t="shared" si="62"/>
        <v>44.08</v>
      </c>
      <c r="BA23" s="42"/>
      <c r="BB23" s="76">
        <f t="shared" si="63"/>
        <v>0.49973863042341876</v>
      </c>
      <c r="BC23" s="76">
        <f t="shared" si="63"/>
        <v>0.49909420289855072</v>
      </c>
      <c r="BF23" s="40"/>
      <c r="BG23" s="40"/>
    </row>
    <row r="24" spans="2:59" x14ac:dyDescent="0.25">
      <c r="B24" s="25" t="s">
        <v>27</v>
      </c>
      <c r="C24" s="149">
        <f>ROUND('Single Trip Standard re 4Jan24'!C24*SUM(1+1*'Single Trip Standard re Jan25'!$D$1),2)</f>
        <v>42.99</v>
      </c>
      <c r="D24" s="149">
        <f>ROUND('Single Trip Standard re 4Jan24'!D24*SUM(1+1*'Single Trip Standard re Jan25'!$D$1),2)</f>
        <v>48.75</v>
      </c>
      <c r="E24" s="41"/>
      <c r="F24" s="41">
        <f t="shared" si="48"/>
        <v>50.90016</v>
      </c>
      <c r="G24" s="41">
        <f t="shared" si="48"/>
        <v>57.72</v>
      </c>
      <c r="H24" s="82"/>
      <c r="I24" s="41">
        <f t="shared" si="49"/>
        <v>7.9101599999999976</v>
      </c>
      <c r="J24" s="41">
        <f t="shared" si="49"/>
        <v>8.9699999999999989</v>
      </c>
      <c r="K24" s="82"/>
      <c r="L24" s="41">
        <f t="shared" si="50"/>
        <v>55.99</v>
      </c>
      <c r="M24" s="41">
        <f t="shared" si="50"/>
        <v>63.492000000000004</v>
      </c>
      <c r="N24" s="82"/>
      <c r="O24" s="41">
        <f t="shared" si="51"/>
        <v>13</v>
      </c>
      <c r="P24" s="41">
        <f t="shared" si="51"/>
        <v>14.742000000000004</v>
      </c>
      <c r="Q24" s="82"/>
      <c r="R24" s="76">
        <f t="shared" si="52"/>
        <v>9.9999685659141344E-2</v>
      </c>
      <c r="S24" s="76">
        <f t="shared" si="52"/>
        <v>9.9965349965349962E-2</v>
      </c>
      <c r="T24" s="82"/>
      <c r="U24" s="41">
        <f t="shared" si="53"/>
        <v>85.98</v>
      </c>
      <c r="V24" s="41">
        <f t="shared" si="53"/>
        <v>97.5</v>
      </c>
      <c r="W24" s="82"/>
      <c r="X24" s="41">
        <f t="shared" si="54"/>
        <v>103.18</v>
      </c>
      <c r="Y24" s="41">
        <f t="shared" si="55"/>
        <v>117</v>
      </c>
      <c r="AA24" s="182">
        <f t="shared" si="64"/>
        <v>103.1</v>
      </c>
      <c r="AB24" s="182">
        <f t="shared" si="65"/>
        <v>117</v>
      </c>
      <c r="AD24" s="40">
        <f t="shared" si="56"/>
        <v>85.916666666666671</v>
      </c>
      <c r="AE24" s="40">
        <f t="shared" si="57"/>
        <v>97.5</v>
      </c>
      <c r="AG24" s="40">
        <f t="shared" si="66"/>
        <v>8.0000000000012506E-2</v>
      </c>
      <c r="AH24" s="40">
        <f t="shared" si="67"/>
        <v>0</v>
      </c>
      <c r="AJ24" s="40">
        <f t="shared" si="58"/>
        <v>5.09</v>
      </c>
      <c r="AK24" s="40">
        <f t="shared" si="58"/>
        <v>5.77</v>
      </c>
      <c r="AL24" s="40"/>
      <c r="AM24" s="180">
        <f t="shared" si="68"/>
        <v>34.999839999999992</v>
      </c>
      <c r="AN24" s="180">
        <f t="shared" si="69"/>
        <v>39.78</v>
      </c>
      <c r="AP24" s="76">
        <f t="shared" si="59"/>
        <v>9.1999999999999971E-2</v>
      </c>
      <c r="AQ24" s="76">
        <f t="shared" si="59"/>
        <v>9.1999999999999985E-2</v>
      </c>
      <c r="AS24" s="76">
        <f t="shared" si="60"/>
        <v>0.40706955105838555</v>
      </c>
      <c r="AT24" s="76">
        <f t="shared" si="60"/>
        <v>0.40800000000000003</v>
      </c>
      <c r="AV24" s="76">
        <f t="shared" si="61"/>
        <v>0.5</v>
      </c>
      <c r="AW24" s="76">
        <f t="shared" si="61"/>
        <v>0.5</v>
      </c>
      <c r="AX24" s="42"/>
      <c r="AY24" s="42">
        <f t="shared" si="62"/>
        <v>42.909999999999989</v>
      </c>
      <c r="AZ24" s="42">
        <f t="shared" si="62"/>
        <v>48.75</v>
      </c>
      <c r="BA24" s="42"/>
      <c r="BB24" s="76">
        <f t="shared" si="63"/>
        <v>0.49906955105838552</v>
      </c>
      <c r="BC24" s="76">
        <f t="shared" si="63"/>
        <v>0.5</v>
      </c>
      <c r="BF24" s="40"/>
      <c r="BG24" s="40"/>
    </row>
    <row r="25" spans="2:59" x14ac:dyDescent="0.25">
      <c r="B25" s="25" t="s">
        <v>29</v>
      </c>
      <c r="C25" s="149">
        <f>ROUND('Single Trip Standard re 4Jan24'!C25*SUM(1+1*'Single Trip Standard re Jan25'!$D$1),2)</f>
        <v>6.08</v>
      </c>
      <c r="D25" s="149">
        <f>ROUND('Single Trip Standard re 4Jan24'!D25*SUM(1+1*'Single Trip Standard re Jan25'!$D$1),2)</f>
        <v>6.65</v>
      </c>
      <c r="E25" s="41"/>
      <c r="F25" s="41">
        <f t="shared" si="48"/>
        <v>7.1987199999999998</v>
      </c>
      <c r="G25" s="41">
        <f t="shared" si="48"/>
        <v>7.8735999999999997</v>
      </c>
      <c r="H25" s="82"/>
      <c r="I25" s="41">
        <f t="shared" si="49"/>
        <v>1.1187199999999997</v>
      </c>
      <c r="J25" s="41">
        <f t="shared" si="49"/>
        <v>1.2235999999999994</v>
      </c>
      <c r="K25" s="82"/>
      <c r="L25" s="41">
        <f t="shared" si="50"/>
        <v>7.9200000000000008</v>
      </c>
      <c r="M25" s="41">
        <f t="shared" si="50"/>
        <v>8.657</v>
      </c>
      <c r="N25" s="82"/>
      <c r="O25" s="41">
        <f t="shared" si="51"/>
        <v>1.8400000000000007</v>
      </c>
      <c r="P25" s="41">
        <f t="shared" si="51"/>
        <v>2.0069999999999997</v>
      </c>
      <c r="Q25" s="82"/>
      <c r="R25" s="76">
        <f t="shared" si="52"/>
        <v>0.10001778093883357</v>
      </c>
      <c r="S25" s="76">
        <f t="shared" si="52"/>
        <v>0.10033529770371877</v>
      </c>
      <c r="T25" s="82"/>
      <c r="U25" s="41">
        <f t="shared" si="53"/>
        <v>12.16</v>
      </c>
      <c r="V25" s="41">
        <f t="shared" si="53"/>
        <v>13.3</v>
      </c>
      <c r="W25" s="82"/>
      <c r="X25" s="41">
        <f t="shared" si="54"/>
        <v>14.59</v>
      </c>
      <c r="Y25" s="41">
        <f t="shared" si="55"/>
        <v>15.96</v>
      </c>
      <c r="AA25" s="182">
        <f>ROUNDDOWN(C25/(1-$X$1)*1.2,1)</f>
        <v>14.5</v>
      </c>
      <c r="AB25" s="182">
        <f>ROUNDDOWN(D25/(1-$X$1)*1.2,1)</f>
        <v>15.9</v>
      </c>
      <c r="AD25" s="40">
        <f t="shared" si="56"/>
        <v>12.083333333333334</v>
      </c>
      <c r="AE25" s="40">
        <f t="shared" si="57"/>
        <v>13.25</v>
      </c>
      <c r="AG25" s="40">
        <f t="shared" si="66"/>
        <v>8.9999999999999858E-2</v>
      </c>
      <c r="AH25" s="40">
        <f t="shared" si="67"/>
        <v>6.0000000000000497E-2</v>
      </c>
      <c r="AJ25" s="40">
        <f t="shared" si="58"/>
        <v>0.72</v>
      </c>
      <c r="AK25" s="40">
        <f t="shared" si="58"/>
        <v>0.79</v>
      </c>
      <c r="AL25" s="40"/>
      <c r="AM25" s="180">
        <f t="shared" si="68"/>
        <v>4.8712800000000005</v>
      </c>
      <c r="AN25" s="180">
        <f t="shared" si="69"/>
        <v>5.3664000000000005</v>
      </c>
      <c r="AP25" s="76">
        <f t="shared" si="59"/>
        <v>9.1999999999999971E-2</v>
      </c>
      <c r="AQ25" s="76">
        <f t="shared" si="59"/>
        <v>9.1999999999999943E-2</v>
      </c>
      <c r="AS25" s="76">
        <f t="shared" si="60"/>
        <v>0.40059868421052636</v>
      </c>
      <c r="AT25" s="76">
        <f t="shared" si="60"/>
        <v>0.40348872180451129</v>
      </c>
      <c r="AV25" s="76">
        <f t="shared" si="61"/>
        <v>0.5</v>
      </c>
      <c r="AW25" s="76">
        <f t="shared" si="61"/>
        <v>0.5</v>
      </c>
      <c r="AX25" s="42"/>
      <c r="AY25" s="42">
        <f t="shared" si="62"/>
        <v>5.99</v>
      </c>
      <c r="AZ25" s="42">
        <f t="shared" si="62"/>
        <v>6.59</v>
      </c>
      <c r="BA25" s="42"/>
      <c r="BB25" s="76">
        <f t="shared" si="63"/>
        <v>0.49259868421052633</v>
      </c>
      <c r="BC25" s="76">
        <f t="shared" si="63"/>
        <v>0.49548872180451126</v>
      </c>
      <c r="BF25" s="40"/>
      <c r="BG25" s="40"/>
    </row>
    <row r="26" spans="2:59" x14ac:dyDescent="0.25">
      <c r="B26" s="25"/>
      <c r="C26" s="41"/>
      <c r="D26" s="41"/>
      <c r="E26" s="41"/>
      <c r="F26" s="41"/>
      <c r="G26" s="41"/>
      <c r="H26" s="82"/>
      <c r="I26" s="82"/>
      <c r="J26" s="82"/>
      <c r="K26" s="82"/>
      <c r="L26" s="41"/>
      <c r="M26" s="41"/>
      <c r="N26" s="4"/>
      <c r="O26" s="4"/>
      <c r="P26" s="4"/>
      <c r="Q26" s="4"/>
      <c r="R26" s="78"/>
      <c r="T26" s="4"/>
      <c r="U26" s="4"/>
      <c r="V26" s="4"/>
      <c r="W26" s="4"/>
      <c r="AJ26" s="40"/>
      <c r="AK26" s="40"/>
      <c r="AL26" s="40"/>
      <c r="AM26" s="102"/>
      <c r="AN26" s="102"/>
      <c r="AS26" s="76"/>
      <c r="AT26" s="76"/>
      <c r="AV26" s="40"/>
      <c r="AW26" s="40"/>
      <c r="BB26" s="77"/>
      <c r="BC26" s="77"/>
    </row>
    <row r="27" spans="2:59" x14ac:dyDescent="0.25">
      <c r="B27" s="32" t="s">
        <v>32</v>
      </c>
      <c r="C27" s="41"/>
      <c r="D27" s="41"/>
      <c r="E27" s="41"/>
      <c r="F27" s="41"/>
      <c r="G27" s="41"/>
      <c r="H27" s="82"/>
      <c r="I27" s="82"/>
      <c r="J27" s="82"/>
      <c r="K27" s="82"/>
      <c r="L27" s="41"/>
      <c r="M27" s="41"/>
      <c r="N27" s="4"/>
      <c r="O27" s="4"/>
      <c r="P27" s="4"/>
      <c r="Q27" s="4"/>
      <c r="R27" s="78"/>
      <c r="T27" s="4"/>
      <c r="U27" s="4"/>
      <c r="V27" s="4"/>
      <c r="W27" s="4"/>
      <c r="AJ27" s="40"/>
      <c r="AK27" s="40"/>
      <c r="AL27" s="40"/>
      <c r="AS27" s="103"/>
      <c r="AT27" s="103"/>
      <c r="AV27" s="40"/>
      <c r="AW27" s="40"/>
      <c r="BB27" s="77"/>
      <c r="BC27" s="77"/>
    </row>
    <row r="28" spans="2:59" x14ac:dyDescent="0.25">
      <c r="B28" s="25" t="s">
        <v>23</v>
      </c>
      <c r="C28" s="149">
        <f>ROUND('Single Trip Standard re 4Jan24'!C28*SUM(1+1*'Single Trip Standard re Jan25'!$D$1),2)</f>
        <v>24.26</v>
      </c>
      <c r="D28" s="149">
        <f>ROUND('Single Trip Standard re 4Jan24'!D28*SUM(1+1*'Single Trip Standard re Jan25'!$D$1),2)</f>
        <v>28.9</v>
      </c>
      <c r="E28" s="41"/>
      <c r="F28" s="41">
        <f t="shared" ref="F28:G33" si="70">C28*SUM(1+$G$1/$X$1)</f>
        <v>28.723839999999999</v>
      </c>
      <c r="G28" s="41">
        <f t="shared" si="70"/>
        <v>34.217599999999997</v>
      </c>
      <c r="H28" s="82"/>
      <c r="I28" s="41">
        <f t="shared" ref="I28:J33" si="71">F28-C28</f>
        <v>4.4638399999999976</v>
      </c>
      <c r="J28" s="41">
        <f t="shared" si="71"/>
        <v>5.3175999999999988</v>
      </c>
      <c r="K28" s="82"/>
      <c r="L28" s="41">
        <f t="shared" ref="L28:M33" si="72">ROUND(C28*(1+$G$1*2),2)*SUM(1+$M$1)</f>
        <v>31.592000000000002</v>
      </c>
      <c r="M28" s="41">
        <f t="shared" si="72"/>
        <v>37.642000000000003</v>
      </c>
      <c r="N28" s="82"/>
      <c r="O28" s="41">
        <f t="shared" ref="O28:P32" si="73">L28-C28</f>
        <v>7.3320000000000007</v>
      </c>
      <c r="P28" s="41">
        <f t="shared" si="73"/>
        <v>8.7420000000000044</v>
      </c>
      <c r="Q28" s="82"/>
      <c r="R28" s="76">
        <f t="shared" ref="R28:S33" si="74">AJ28/F28</f>
        <v>9.9917002740580657E-2</v>
      </c>
      <c r="S28" s="76">
        <f t="shared" si="74"/>
        <v>9.9948564481436464E-2</v>
      </c>
      <c r="T28" s="82"/>
      <c r="U28" s="41">
        <f t="shared" ref="U28:V33" si="75">SUM(C28/(1-$X$1))</f>
        <v>48.52</v>
      </c>
      <c r="V28" s="41">
        <f t="shared" si="75"/>
        <v>57.8</v>
      </c>
      <c r="W28" s="82"/>
      <c r="X28" s="41">
        <f t="shared" ref="X28:X33" si="76">ROUND(C28/(1-$X$1)*1.2,2)</f>
        <v>58.22</v>
      </c>
      <c r="Y28" s="41">
        <f t="shared" ref="Y28:Y33" si="77">ROUND(D28/(1-$X$1)*1.2,2)</f>
        <v>69.36</v>
      </c>
      <c r="AA28" s="182">
        <f>ROUNDDOWN(C28/(1-$X$1)*1.2,1)</f>
        <v>58.2</v>
      </c>
      <c r="AB28" s="182">
        <f>ROUNDDOWN(D28/(1-$X$1)*1.2,1)</f>
        <v>69.3</v>
      </c>
      <c r="AD28" s="40">
        <f t="shared" ref="AD28:AD33" si="78">AA28/1.2</f>
        <v>48.500000000000007</v>
      </c>
      <c r="AE28" s="40">
        <f t="shared" ref="AE28:AE33" si="79">AB28/1.2</f>
        <v>57.75</v>
      </c>
      <c r="AG28" s="40">
        <f>X28-AA28</f>
        <v>1.9999999999996021E-2</v>
      </c>
      <c r="AH28" s="40">
        <f>Y28-AB28</f>
        <v>6.0000000000002274E-2</v>
      </c>
      <c r="AJ28" s="40">
        <f t="shared" ref="AJ28:AK33" si="80">ROUND(L28*(1-(1/(1+$AL$1))),2)</f>
        <v>2.87</v>
      </c>
      <c r="AK28" s="40">
        <f t="shared" si="80"/>
        <v>3.42</v>
      </c>
      <c r="AL28" s="40"/>
      <c r="AM28" s="180">
        <f>SUM(U28-F28)-AG28</f>
        <v>19.776160000000008</v>
      </c>
      <c r="AN28" s="180">
        <f>SUM(V28-G28)-AH28</f>
        <v>23.522399999999998</v>
      </c>
      <c r="AP28" s="76">
        <f t="shared" ref="AP28:AQ33" si="81">(SUM(F28-C28)/C28)*$X$1</f>
        <v>9.1999999999999943E-2</v>
      </c>
      <c r="AQ28" s="76">
        <f t="shared" si="81"/>
        <v>9.1999999999999985E-2</v>
      </c>
      <c r="AS28" s="76">
        <f t="shared" ref="AS28:AT33" si="82">AM28/U28</f>
        <v>0.4075877988458369</v>
      </c>
      <c r="AT28" s="76">
        <f t="shared" si="82"/>
        <v>0.40696193771626293</v>
      </c>
      <c r="AV28" s="76">
        <f t="shared" ref="AV28:AW33" si="83">C28/U28</f>
        <v>0.5</v>
      </c>
      <c r="AW28" s="76">
        <f t="shared" si="83"/>
        <v>0.5</v>
      </c>
      <c r="AX28" s="42"/>
      <c r="AY28" s="42">
        <f t="shared" ref="AY28:AZ33" si="84">I28+AM28</f>
        <v>24.240000000000006</v>
      </c>
      <c r="AZ28" s="42">
        <f t="shared" si="84"/>
        <v>28.839999999999996</v>
      </c>
      <c r="BA28" s="42"/>
      <c r="BB28" s="76">
        <f t="shared" ref="BB28:BC33" si="85">AY28/(C28/$X$1)</f>
        <v>0.49958779884583687</v>
      </c>
      <c r="BC28" s="76">
        <f t="shared" si="85"/>
        <v>0.49896193771626296</v>
      </c>
      <c r="BF28" s="40"/>
      <c r="BG28" s="40"/>
    </row>
    <row r="29" spans="2:59" x14ac:dyDescent="0.25">
      <c r="B29" s="25" t="s">
        <v>24</v>
      </c>
      <c r="C29" s="149">
        <f>ROUND('Single Trip Standard re 4Jan24'!C29*SUM(1+1*'Single Trip Standard re Jan25'!$D$1),2)</f>
        <v>29.35</v>
      </c>
      <c r="D29" s="149">
        <f>ROUND('Single Trip Standard re 4Jan24'!D29*SUM(1+1*'Single Trip Standard re Jan25'!$D$1),2)</f>
        <v>34.76</v>
      </c>
      <c r="E29" s="41"/>
      <c r="F29" s="41">
        <f t="shared" si="70"/>
        <v>34.750399999999999</v>
      </c>
      <c r="G29" s="41">
        <f t="shared" si="70"/>
        <v>41.155839999999998</v>
      </c>
      <c r="H29" s="82"/>
      <c r="I29" s="41">
        <f t="shared" si="71"/>
        <v>5.4003999999999976</v>
      </c>
      <c r="J29" s="41">
        <f t="shared" si="71"/>
        <v>6.3958399999999997</v>
      </c>
      <c r="K29" s="82"/>
      <c r="L29" s="41">
        <f t="shared" si="72"/>
        <v>38.225000000000001</v>
      </c>
      <c r="M29" s="41">
        <f t="shared" si="72"/>
        <v>45.276000000000003</v>
      </c>
      <c r="N29" s="82"/>
      <c r="O29" s="41">
        <f t="shared" si="73"/>
        <v>8.875</v>
      </c>
      <c r="P29" s="41">
        <f t="shared" si="73"/>
        <v>10.516000000000005</v>
      </c>
      <c r="Q29" s="82"/>
      <c r="R29" s="76">
        <f t="shared" si="74"/>
        <v>0.10014273216998941</v>
      </c>
      <c r="S29" s="76">
        <f t="shared" si="74"/>
        <v>0.1001072994743881</v>
      </c>
      <c r="T29" s="82"/>
      <c r="U29" s="41">
        <f t="shared" si="75"/>
        <v>58.7</v>
      </c>
      <c r="V29" s="41">
        <f t="shared" si="75"/>
        <v>69.52</v>
      </c>
      <c r="W29" s="82"/>
      <c r="X29" s="41">
        <f t="shared" si="76"/>
        <v>70.44</v>
      </c>
      <c r="Y29" s="41">
        <f t="shared" si="77"/>
        <v>83.42</v>
      </c>
      <c r="AA29" s="182">
        <f t="shared" ref="AA29:AA32" si="86">ROUNDDOWN(C29/(1-$X$1)*1.2,1)</f>
        <v>70.400000000000006</v>
      </c>
      <c r="AB29" s="182">
        <f t="shared" ref="AB29:AB32" si="87">ROUNDDOWN(D29/(1-$X$1)*1.2,1)</f>
        <v>83.4</v>
      </c>
      <c r="AD29" s="40">
        <f t="shared" si="78"/>
        <v>58.666666666666671</v>
      </c>
      <c r="AE29" s="40">
        <f t="shared" si="79"/>
        <v>69.500000000000014</v>
      </c>
      <c r="AG29" s="40">
        <f t="shared" ref="AG29:AG33" si="88">X29-AA29</f>
        <v>3.9999999999992042E-2</v>
      </c>
      <c r="AH29" s="40">
        <f t="shared" ref="AH29:AH33" si="89">Y29-AB29</f>
        <v>1.9999999999996021E-2</v>
      </c>
      <c r="AJ29" s="40">
        <f t="shared" si="80"/>
        <v>3.48</v>
      </c>
      <c r="AK29" s="40">
        <f t="shared" si="80"/>
        <v>4.12</v>
      </c>
      <c r="AL29" s="40"/>
      <c r="AM29" s="180">
        <f t="shared" ref="AM29:AM33" si="90">SUM(U29-F29)-AG29</f>
        <v>23.909600000000012</v>
      </c>
      <c r="AN29" s="180">
        <f t="shared" ref="AN29:AN33" si="91">SUM(V29-G29)-AH29</f>
        <v>28.344160000000002</v>
      </c>
      <c r="AP29" s="76">
        <f t="shared" si="81"/>
        <v>9.1999999999999957E-2</v>
      </c>
      <c r="AQ29" s="76">
        <f t="shared" si="81"/>
        <v>9.1999999999999998E-2</v>
      </c>
      <c r="AS29" s="76">
        <f t="shared" si="82"/>
        <v>0.40731856899488944</v>
      </c>
      <c r="AT29" s="76">
        <f t="shared" si="82"/>
        <v>0.40771231300345229</v>
      </c>
      <c r="AV29" s="76">
        <f t="shared" si="83"/>
        <v>0.5</v>
      </c>
      <c r="AW29" s="76">
        <f t="shared" si="83"/>
        <v>0.5</v>
      </c>
      <c r="AX29" s="42"/>
      <c r="AY29" s="42">
        <f t="shared" si="84"/>
        <v>29.310000000000009</v>
      </c>
      <c r="AZ29" s="42">
        <f t="shared" si="84"/>
        <v>34.74</v>
      </c>
      <c r="BA29" s="42"/>
      <c r="BB29" s="76">
        <f t="shared" si="85"/>
        <v>0.49931856899488941</v>
      </c>
      <c r="BC29" s="76">
        <f t="shared" si="85"/>
        <v>0.49971231300345231</v>
      </c>
      <c r="BF29" s="40"/>
      <c r="BG29" s="40"/>
    </row>
    <row r="30" spans="2:59" x14ac:dyDescent="0.25">
      <c r="B30" s="25" t="s">
        <v>25</v>
      </c>
      <c r="C30" s="149">
        <f>ROUND('Single Trip Standard re 4Jan24'!C30*SUM(1+1*'Single Trip Standard re Jan25'!$D$1),2)</f>
        <v>36.22</v>
      </c>
      <c r="D30" s="149">
        <f>ROUND('Single Trip Standard re 4Jan24'!D30*SUM(1+1*'Single Trip Standard re Jan25'!$D$1),2)</f>
        <v>40.26</v>
      </c>
      <c r="E30" s="41"/>
      <c r="F30" s="41">
        <f t="shared" si="70"/>
        <v>42.884479999999996</v>
      </c>
      <c r="G30" s="41">
        <f t="shared" si="70"/>
        <v>47.667839999999998</v>
      </c>
      <c r="H30" s="82"/>
      <c r="I30" s="41">
        <f t="shared" si="71"/>
        <v>6.6644799999999975</v>
      </c>
      <c r="J30" s="41">
        <f t="shared" si="71"/>
        <v>7.4078400000000002</v>
      </c>
      <c r="K30" s="82"/>
      <c r="L30" s="41">
        <f t="shared" si="72"/>
        <v>47.168000000000006</v>
      </c>
      <c r="M30" s="41">
        <f t="shared" si="72"/>
        <v>52.437000000000005</v>
      </c>
      <c r="N30" s="82"/>
      <c r="O30" s="41">
        <f t="shared" si="73"/>
        <v>10.948000000000008</v>
      </c>
      <c r="P30" s="41">
        <f t="shared" si="73"/>
        <v>12.177000000000007</v>
      </c>
      <c r="Q30" s="82"/>
      <c r="R30" s="76">
        <f t="shared" si="74"/>
        <v>0.10003619024877999</v>
      </c>
      <c r="S30" s="76">
        <f t="shared" si="74"/>
        <v>0.10006746687074555</v>
      </c>
      <c r="T30" s="82"/>
      <c r="U30" s="41">
        <f t="shared" si="75"/>
        <v>72.44</v>
      </c>
      <c r="V30" s="41">
        <f t="shared" si="75"/>
        <v>80.52</v>
      </c>
      <c r="W30" s="82"/>
      <c r="X30" s="41">
        <f t="shared" si="76"/>
        <v>86.93</v>
      </c>
      <c r="Y30" s="41">
        <f t="shared" si="77"/>
        <v>96.62</v>
      </c>
      <c r="AA30" s="182">
        <f t="shared" si="86"/>
        <v>86.9</v>
      </c>
      <c r="AB30" s="182">
        <f t="shared" si="87"/>
        <v>96.6</v>
      </c>
      <c r="AD30" s="40">
        <f t="shared" si="78"/>
        <v>72.416666666666671</v>
      </c>
      <c r="AE30" s="40">
        <f t="shared" si="79"/>
        <v>80.5</v>
      </c>
      <c r="AG30" s="40">
        <f t="shared" si="88"/>
        <v>3.0000000000001137E-2</v>
      </c>
      <c r="AH30" s="40">
        <f t="shared" si="89"/>
        <v>2.0000000000010232E-2</v>
      </c>
      <c r="AJ30" s="40">
        <f t="shared" si="80"/>
        <v>4.29</v>
      </c>
      <c r="AK30" s="40">
        <f t="shared" si="80"/>
        <v>4.7699999999999996</v>
      </c>
      <c r="AL30" s="40"/>
      <c r="AM30" s="180">
        <f t="shared" si="90"/>
        <v>29.52552</v>
      </c>
      <c r="AN30" s="180">
        <f t="shared" si="91"/>
        <v>32.832159999999988</v>
      </c>
      <c r="AP30" s="76">
        <f t="shared" si="81"/>
        <v>9.1999999999999971E-2</v>
      </c>
      <c r="AQ30" s="76">
        <f t="shared" si="81"/>
        <v>9.2000000000000012E-2</v>
      </c>
      <c r="AS30" s="76">
        <f t="shared" si="82"/>
        <v>0.40758586416344561</v>
      </c>
      <c r="AT30" s="76">
        <f t="shared" si="82"/>
        <v>0.40775161450571273</v>
      </c>
      <c r="AV30" s="76">
        <f t="shared" si="83"/>
        <v>0.5</v>
      </c>
      <c r="AW30" s="76">
        <f t="shared" si="83"/>
        <v>0.5</v>
      </c>
      <c r="AX30" s="42"/>
      <c r="AY30" s="42">
        <f t="shared" si="84"/>
        <v>36.19</v>
      </c>
      <c r="AZ30" s="42">
        <f t="shared" si="84"/>
        <v>40.239999999999988</v>
      </c>
      <c r="BA30" s="42"/>
      <c r="BB30" s="76">
        <f t="shared" si="85"/>
        <v>0.49958586416344558</v>
      </c>
      <c r="BC30" s="76">
        <f t="shared" si="85"/>
        <v>0.49975161450571276</v>
      </c>
      <c r="BF30" s="40"/>
      <c r="BG30" s="40"/>
    </row>
    <row r="31" spans="2:59" x14ac:dyDescent="0.25">
      <c r="B31" s="25" t="s">
        <v>33</v>
      </c>
      <c r="C31" s="149">
        <f>ROUND('Single Trip Standard re 4Jan24'!C31*SUM(1+1*'Single Trip Standard re Jan25'!$D$1),2)</f>
        <v>45.4</v>
      </c>
      <c r="D31" s="149">
        <f>ROUND('Single Trip Standard re 4Jan24'!D31*SUM(1+1*'Single Trip Standard re Jan25'!$D$1),2)</f>
        <v>52.19</v>
      </c>
      <c r="E31" s="41"/>
      <c r="F31" s="41">
        <f t="shared" si="70"/>
        <v>53.753599999999999</v>
      </c>
      <c r="G31" s="41">
        <f t="shared" si="70"/>
        <v>61.792959999999994</v>
      </c>
      <c r="H31" s="82"/>
      <c r="I31" s="41">
        <f t="shared" si="71"/>
        <v>8.3536000000000001</v>
      </c>
      <c r="J31" s="41">
        <f t="shared" si="71"/>
        <v>9.6029599999999959</v>
      </c>
      <c r="K31" s="82"/>
      <c r="L31" s="41">
        <f t="shared" si="72"/>
        <v>59.125000000000007</v>
      </c>
      <c r="M31" s="41">
        <f t="shared" si="72"/>
        <v>67.969000000000008</v>
      </c>
      <c r="N31" s="82"/>
      <c r="O31" s="41">
        <f t="shared" si="73"/>
        <v>13.725000000000009</v>
      </c>
      <c r="P31" s="41">
        <f t="shared" si="73"/>
        <v>15.779000000000011</v>
      </c>
      <c r="Q31" s="82"/>
      <c r="R31" s="76">
        <f t="shared" si="74"/>
        <v>0.10008631979997619</v>
      </c>
      <c r="S31" s="76">
        <f t="shared" si="74"/>
        <v>0.10001139288359062</v>
      </c>
      <c r="T31" s="82"/>
      <c r="U31" s="41">
        <f t="shared" si="75"/>
        <v>90.8</v>
      </c>
      <c r="V31" s="41">
        <f t="shared" si="75"/>
        <v>104.38</v>
      </c>
      <c r="W31" s="82"/>
      <c r="X31" s="41">
        <f t="shared" si="76"/>
        <v>108.96</v>
      </c>
      <c r="Y31" s="41">
        <f t="shared" si="77"/>
        <v>125.26</v>
      </c>
      <c r="AA31" s="182">
        <f t="shared" si="86"/>
        <v>108.9</v>
      </c>
      <c r="AB31" s="182">
        <f t="shared" si="87"/>
        <v>125.2</v>
      </c>
      <c r="AD31" s="40">
        <f t="shared" si="78"/>
        <v>90.750000000000014</v>
      </c>
      <c r="AE31" s="40">
        <f t="shared" si="79"/>
        <v>104.33333333333334</v>
      </c>
      <c r="AG31" s="40">
        <f t="shared" si="88"/>
        <v>5.9999999999988063E-2</v>
      </c>
      <c r="AH31" s="40">
        <f t="shared" si="89"/>
        <v>6.0000000000002274E-2</v>
      </c>
      <c r="AJ31" s="40">
        <f t="shared" si="80"/>
        <v>5.38</v>
      </c>
      <c r="AK31" s="40">
        <f t="shared" si="80"/>
        <v>6.18</v>
      </c>
      <c r="AL31" s="40"/>
      <c r="AM31" s="180">
        <f t="shared" si="90"/>
        <v>36.98640000000001</v>
      </c>
      <c r="AN31" s="180">
        <f t="shared" si="91"/>
        <v>42.52704</v>
      </c>
      <c r="AP31" s="76">
        <f t="shared" si="81"/>
        <v>9.1999999999999998E-2</v>
      </c>
      <c r="AQ31" s="76">
        <f t="shared" si="81"/>
        <v>9.1999999999999971E-2</v>
      </c>
      <c r="AS31" s="76">
        <f t="shared" si="82"/>
        <v>0.40733920704845827</v>
      </c>
      <c r="AT31" s="76">
        <f t="shared" si="82"/>
        <v>0.4074251772370186</v>
      </c>
      <c r="AV31" s="76">
        <f t="shared" si="83"/>
        <v>0.5</v>
      </c>
      <c r="AW31" s="76">
        <f t="shared" si="83"/>
        <v>0.5</v>
      </c>
      <c r="AX31" s="42"/>
      <c r="AY31" s="42">
        <f t="shared" si="84"/>
        <v>45.340000000000011</v>
      </c>
      <c r="AZ31" s="42">
        <f t="shared" si="84"/>
        <v>52.129999999999995</v>
      </c>
      <c r="BA31" s="42"/>
      <c r="BB31" s="76">
        <f t="shared" si="85"/>
        <v>0.4993392070484583</v>
      </c>
      <c r="BC31" s="76">
        <f t="shared" si="85"/>
        <v>0.49942517723701857</v>
      </c>
      <c r="BF31" s="40"/>
      <c r="BG31" s="40"/>
    </row>
    <row r="32" spans="2:59" x14ac:dyDescent="0.25">
      <c r="B32" s="25" t="s">
        <v>27</v>
      </c>
      <c r="C32" s="149">
        <f>ROUND('Single Trip Standard re 4Jan24'!C32*SUM(1+1*'Single Trip Standard re Jan25'!$D$1),2)</f>
        <v>50.07</v>
      </c>
      <c r="D32" s="149">
        <f>ROUND('Single Trip Standard re 4Jan24'!D32*SUM(1+1*'Single Trip Standard re Jan25'!$D$1),2)</f>
        <v>56.49</v>
      </c>
      <c r="E32" s="41"/>
      <c r="F32" s="41">
        <f t="shared" si="70"/>
        <v>59.282879999999999</v>
      </c>
      <c r="G32" s="41">
        <f t="shared" si="70"/>
        <v>66.884159999999994</v>
      </c>
      <c r="H32" s="82"/>
      <c r="I32" s="41">
        <f t="shared" si="71"/>
        <v>9.2128799999999984</v>
      </c>
      <c r="J32" s="41">
        <f t="shared" si="71"/>
        <v>10.394159999999992</v>
      </c>
      <c r="K32" s="82"/>
      <c r="L32" s="41">
        <f t="shared" si="72"/>
        <v>65.208000000000013</v>
      </c>
      <c r="M32" s="41">
        <f t="shared" si="72"/>
        <v>73.567999999999998</v>
      </c>
      <c r="N32" s="82"/>
      <c r="O32" s="41">
        <f t="shared" si="73"/>
        <v>15.138000000000012</v>
      </c>
      <c r="P32" s="41">
        <f t="shared" si="73"/>
        <v>17.077999999999996</v>
      </c>
      <c r="Q32" s="82"/>
      <c r="R32" s="76">
        <f t="shared" si="74"/>
        <v>0.10002887848903427</v>
      </c>
      <c r="S32" s="76">
        <f t="shared" si="74"/>
        <v>0.10002368273743741</v>
      </c>
      <c r="T32" s="82"/>
      <c r="U32" s="41">
        <f t="shared" si="75"/>
        <v>100.14</v>
      </c>
      <c r="V32" s="41">
        <f t="shared" si="75"/>
        <v>112.98</v>
      </c>
      <c r="W32" s="82"/>
      <c r="X32" s="41">
        <f t="shared" si="76"/>
        <v>120.17</v>
      </c>
      <c r="Y32" s="41">
        <f t="shared" si="77"/>
        <v>135.58000000000001</v>
      </c>
      <c r="AA32" s="182">
        <f t="shared" si="86"/>
        <v>120.1</v>
      </c>
      <c r="AB32" s="182">
        <f t="shared" si="87"/>
        <v>135.5</v>
      </c>
      <c r="AD32" s="40">
        <f t="shared" si="78"/>
        <v>100.08333333333333</v>
      </c>
      <c r="AE32" s="40">
        <f t="shared" si="79"/>
        <v>112.91666666666667</v>
      </c>
      <c r="AG32" s="40">
        <f t="shared" si="88"/>
        <v>7.000000000000739E-2</v>
      </c>
      <c r="AH32" s="40">
        <f t="shared" si="89"/>
        <v>8.0000000000012506E-2</v>
      </c>
      <c r="AJ32" s="40">
        <f t="shared" si="80"/>
        <v>5.93</v>
      </c>
      <c r="AK32" s="40">
        <f t="shared" si="80"/>
        <v>6.69</v>
      </c>
      <c r="AL32" s="40"/>
      <c r="AM32" s="180">
        <f t="shared" si="90"/>
        <v>40.787119999999994</v>
      </c>
      <c r="AN32" s="180">
        <f t="shared" si="91"/>
        <v>46.015839999999997</v>
      </c>
      <c r="AP32" s="76">
        <f t="shared" si="81"/>
        <v>9.1999999999999985E-2</v>
      </c>
      <c r="AQ32" s="76">
        <f t="shared" si="81"/>
        <v>9.1999999999999929E-2</v>
      </c>
      <c r="AS32" s="76">
        <f t="shared" si="82"/>
        <v>0.40730097862991804</v>
      </c>
      <c r="AT32" s="76">
        <f t="shared" si="82"/>
        <v>0.4072919100725792</v>
      </c>
      <c r="AV32" s="76">
        <f t="shared" si="83"/>
        <v>0.5</v>
      </c>
      <c r="AW32" s="76">
        <f t="shared" si="83"/>
        <v>0.5</v>
      </c>
      <c r="AX32" s="42"/>
      <c r="AY32" s="42">
        <f t="shared" si="84"/>
        <v>49.999999999999993</v>
      </c>
      <c r="AZ32" s="42">
        <f t="shared" si="84"/>
        <v>56.409999999999989</v>
      </c>
      <c r="BA32" s="42"/>
      <c r="BB32" s="76">
        <f t="shared" si="85"/>
        <v>0.49930097862991807</v>
      </c>
      <c r="BC32" s="76">
        <f t="shared" si="85"/>
        <v>0.49929191007257911</v>
      </c>
      <c r="BF32" s="40"/>
      <c r="BG32" s="40"/>
    </row>
    <row r="33" spans="1:59" x14ac:dyDescent="0.25">
      <c r="B33" s="25" t="s">
        <v>29</v>
      </c>
      <c r="C33" s="149">
        <f>ROUND('Single Trip Standard re 4Jan24'!C33*SUM(1+1*'Single Trip Standard re Jan25'!$D$1),2)</f>
        <v>8.1999999999999993</v>
      </c>
      <c r="D33" s="149">
        <f>ROUND('Single Trip Standard re 4Jan24'!D33*SUM(1+1*'Single Trip Standard re Jan25'!$D$1),2)</f>
        <v>8.8800000000000008</v>
      </c>
      <c r="E33" s="41"/>
      <c r="F33" s="41">
        <f t="shared" si="70"/>
        <v>9.7087999999999983</v>
      </c>
      <c r="G33" s="41">
        <f t="shared" si="70"/>
        <v>10.513920000000001</v>
      </c>
      <c r="H33" s="82"/>
      <c r="I33" s="41">
        <f t="shared" si="71"/>
        <v>1.508799999999999</v>
      </c>
      <c r="J33" s="41">
        <f t="shared" si="71"/>
        <v>1.6339199999999998</v>
      </c>
      <c r="K33" s="82"/>
      <c r="L33" s="41">
        <f t="shared" si="72"/>
        <v>10.681000000000001</v>
      </c>
      <c r="M33" s="41">
        <f t="shared" si="72"/>
        <v>11.561</v>
      </c>
      <c r="N33" s="82"/>
      <c r="O33" s="41">
        <f>L33-C33</f>
        <v>2.4810000000000016</v>
      </c>
      <c r="P33" s="41">
        <f>M33-D33</f>
        <v>2.6809999999999992</v>
      </c>
      <c r="Q33" s="82"/>
      <c r="R33" s="76">
        <f t="shared" si="74"/>
        <v>9.9909360580092296E-2</v>
      </c>
      <c r="S33" s="76">
        <f t="shared" si="74"/>
        <v>9.9867604090577058E-2</v>
      </c>
      <c r="T33" s="82"/>
      <c r="U33" s="41">
        <f t="shared" si="75"/>
        <v>16.399999999999999</v>
      </c>
      <c r="V33" s="41">
        <f t="shared" si="75"/>
        <v>17.760000000000002</v>
      </c>
      <c r="W33" s="82"/>
      <c r="X33" s="41">
        <f t="shared" si="76"/>
        <v>19.68</v>
      </c>
      <c r="Y33" s="41">
        <f t="shared" si="77"/>
        <v>21.31</v>
      </c>
      <c r="AA33" s="182">
        <f>ROUNDDOWN(C33/(1-$X$1)*1.2,1)</f>
        <v>19.600000000000001</v>
      </c>
      <c r="AB33" s="182">
        <f>ROUNDDOWN(D33/(1-$X$1)*1.2,1)</f>
        <v>21.3</v>
      </c>
      <c r="AD33" s="40">
        <f t="shared" si="78"/>
        <v>16.333333333333336</v>
      </c>
      <c r="AE33" s="40">
        <f t="shared" si="79"/>
        <v>17.75</v>
      </c>
      <c r="AG33" s="40">
        <f t="shared" si="88"/>
        <v>7.9999999999998295E-2</v>
      </c>
      <c r="AH33" s="40">
        <f t="shared" si="89"/>
        <v>9.9999999999980105E-3</v>
      </c>
      <c r="AJ33" s="40">
        <f t="shared" si="80"/>
        <v>0.97</v>
      </c>
      <c r="AK33" s="40">
        <f t="shared" si="80"/>
        <v>1.05</v>
      </c>
      <c r="AL33" s="40"/>
      <c r="AM33" s="180">
        <f t="shared" si="90"/>
        <v>6.611200000000002</v>
      </c>
      <c r="AN33" s="180">
        <f t="shared" si="91"/>
        <v>7.236080000000003</v>
      </c>
      <c r="AP33" s="76">
        <f t="shared" si="81"/>
        <v>9.1999999999999943E-2</v>
      </c>
      <c r="AQ33" s="76">
        <f t="shared" si="81"/>
        <v>9.1999999999999985E-2</v>
      </c>
      <c r="AS33" s="76">
        <f t="shared" si="82"/>
        <v>0.40312195121951233</v>
      </c>
      <c r="AT33" s="76">
        <f t="shared" si="82"/>
        <v>0.40743693693693706</v>
      </c>
      <c r="AV33" s="76">
        <f t="shared" si="83"/>
        <v>0.5</v>
      </c>
      <c r="AW33" s="76">
        <f t="shared" si="83"/>
        <v>0.5</v>
      </c>
      <c r="AX33" s="42"/>
      <c r="AY33" s="42">
        <f t="shared" si="84"/>
        <v>8.120000000000001</v>
      </c>
      <c r="AZ33" s="42">
        <f t="shared" si="84"/>
        <v>8.8700000000000028</v>
      </c>
      <c r="BA33" s="42"/>
      <c r="BB33" s="76">
        <f t="shared" si="85"/>
        <v>0.4951219512195123</v>
      </c>
      <c r="BC33" s="76">
        <f t="shared" si="85"/>
        <v>0.49943693693693703</v>
      </c>
      <c r="BF33" s="40"/>
      <c r="BG33" s="40"/>
    </row>
    <row r="34" spans="1:59" x14ac:dyDescent="0.25">
      <c r="C34" s="39"/>
      <c r="D34" s="39"/>
      <c r="E34" s="39"/>
      <c r="F34" s="39"/>
      <c r="L34" s="41"/>
      <c r="M34" s="39"/>
      <c r="U34" s="41"/>
      <c r="V34" s="41"/>
      <c r="W34" s="39"/>
      <c r="AK34" s="76"/>
      <c r="AL34" s="76"/>
      <c r="AM34" s="76"/>
    </row>
    <row r="35" spans="1:59" x14ac:dyDescent="0.25">
      <c r="A35" s="4" t="s">
        <v>34</v>
      </c>
      <c r="C35" s="40"/>
      <c r="D35" s="40"/>
      <c r="E35" s="40"/>
      <c r="F35" s="40"/>
      <c r="L35" s="40"/>
      <c r="M35" s="40"/>
      <c r="AK35" s="76"/>
      <c r="AL35" s="76"/>
      <c r="AM35" s="76"/>
    </row>
    <row r="36" spans="1:59" x14ac:dyDescent="0.25">
      <c r="C36" s="40"/>
      <c r="D36" s="40"/>
      <c r="E36" s="40"/>
      <c r="F36" s="40"/>
      <c r="M36" s="40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K36" s="76"/>
      <c r="AL36" s="76"/>
      <c r="AM36" s="76"/>
    </row>
    <row r="37" spans="1:59" x14ac:dyDescent="0.25">
      <c r="A37" s="25" t="s">
        <v>35</v>
      </c>
      <c r="B37" s="1" t="s">
        <v>36</v>
      </c>
      <c r="D37" s="40"/>
      <c r="E37" s="40"/>
      <c r="F37" s="40"/>
      <c r="G37" s="40"/>
      <c r="H37" s="40"/>
      <c r="I37" s="40"/>
      <c r="J37" s="40"/>
      <c r="K37" s="40"/>
      <c r="N37" s="40"/>
      <c r="O37" s="40"/>
      <c r="P37" s="40"/>
      <c r="Q37" s="40"/>
      <c r="R37" s="40"/>
      <c r="S37" s="40"/>
      <c r="T37" s="40"/>
      <c r="AK37" s="76"/>
      <c r="AL37" s="76"/>
      <c r="AM37" s="76"/>
    </row>
    <row r="38" spans="1:59" x14ac:dyDescent="0.25">
      <c r="A38" s="25" t="s">
        <v>37</v>
      </c>
      <c r="B38" s="1" t="s">
        <v>38</v>
      </c>
      <c r="D38" s="40"/>
      <c r="E38" s="40"/>
      <c r="F38" s="40"/>
      <c r="N38" s="40"/>
      <c r="O38" s="40"/>
      <c r="P38" s="40"/>
      <c r="Q38" s="40"/>
      <c r="R38" s="40"/>
      <c r="S38" s="40"/>
      <c r="T38" s="40"/>
      <c r="AK38" s="76"/>
      <c r="AL38" s="76"/>
      <c r="AM38" s="76"/>
    </row>
    <row r="39" spans="1:59" x14ac:dyDescent="0.25">
      <c r="A39" s="25" t="s">
        <v>39</v>
      </c>
      <c r="B39" s="1" t="s">
        <v>40</v>
      </c>
      <c r="D39" s="40"/>
      <c r="E39" s="40"/>
      <c r="F39" s="40"/>
      <c r="AK39" s="76"/>
      <c r="AL39" s="76"/>
      <c r="AM39" s="76"/>
    </row>
    <row r="40" spans="1:59" x14ac:dyDescent="0.25">
      <c r="A40" s="25" t="s">
        <v>41</v>
      </c>
      <c r="B40" s="1" t="s">
        <v>42</v>
      </c>
      <c r="D40" s="40"/>
      <c r="E40" s="40"/>
      <c r="F40" s="40"/>
      <c r="AK40" s="76"/>
      <c r="AL40" s="76"/>
      <c r="AM40" s="76"/>
    </row>
    <row r="41" spans="1:59" x14ac:dyDescent="0.25">
      <c r="A41" s="25" t="s">
        <v>43</v>
      </c>
      <c r="B41" s="1" t="s">
        <v>44</v>
      </c>
      <c r="D41" s="40"/>
      <c r="E41" s="40"/>
      <c r="F41" s="40"/>
      <c r="AK41" s="76"/>
      <c r="AL41" s="76"/>
      <c r="AM41" s="76"/>
    </row>
    <row r="42" spans="1:59" x14ac:dyDescent="0.25">
      <c r="A42" s="25" t="s">
        <v>45</v>
      </c>
      <c r="B42" s="1" t="s">
        <v>46</v>
      </c>
      <c r="D42" s="40"/>
      <c r="E42" s="40"/>
      <c r="F42" s="40"/>
      <c r="AK42" s="76"/>
      <c r="AL42" s="76"/>
      <c r="AM42" s="76"/>
    </row>
    <row r="43" spans="1:59" x14ac:dyDescent="0.25">
      <c r="A43" s="25"/>
      <c r="AK43" s="76"/>
      <c r="AL43" s="76"/>
      <c r="AM43" s="76"/>
    </row>
    <row r="44" spans="1:59" x14ac:dyDescent="0.25">
      <c r="A44" s="118" t="s">
        <v>47</v>
      </c>
      <c r="B44" s="1" t="s">
        <v>48</v>
      </c>
      <c r="G44" s="40"/>
      <c r="H44" s="40"/>
      <c r="I44" s="40"/>
      <c r="J44" s="40"/>
      <c r="K44" s="40"/>
      <c r="N44" s="40"/>
      <c r="O44" s="40"/>
      <c r="P44" s="40"/>
      <c r="Q44" s="40"/>
      <c r="R44" s="40"/>
      <c r="S44" s="40"/>
      <c r="T44" s="40"/>
      <c r="AK44" s="76"/>
      <c r="AL44" s="76"/>
      <c r="AM44" s="76"/>
    </row>
    <row r="45" spans="1:59" x14ac:dyDescent="0.25">
      <c r="A45" s="118" t="s">
        <v>49</v>
      </c>
      <c r="B45" s="52" t="s">
        <v>50</v>
      </c>
      <c r="AK45" s="76"/>
      <c r="AL45" s="76"/>
      <c r="AM45" s="76"/>
    </row>
    <row r="46" spans="1:59" x14ac:dyDescent="0.25">
      <c r="A46" s="25"/>
      <c r="AK46" s="76"/>
      <c r="AL46" s="76"/>
      <c r="AM46" s="76"/>
    </row>
    <row r="47" spans="1:59" x14ac:dyDescent="0.25">
      <c r="A47" s="164" t="s">
        <v>51</v>
      </c>
      <c r="B47" s="165" t="s">
        <v>52</v>
      </c>
      <c r="C47" s="166"/>
      <c r="D47" s="166"/>
      <c r="E47" s="166"/>
      <c r="F47" s="166"/>
      <c r="G47" s="166"/>
      <c r="H47" s="166"/>
      <c r="AK47" s="76"/>
      <c r="AL47" s="76"/>
      <c r="AM47" s="76"/>
    </row>
    <row r="48" spans="1:59" ht="47.25" customHeight="1" x14ac:dyDescent="0.25">
      <c r="A48" s="198" t="s">
        <v>53</v>
      </c>
      <c r="B48" s="216" t="s">
        <v>54</v>
      </c>
      <c r="C48" s="216"/>
      <c r="D48" s="216"/>
      <c r="E48" s="216"/>
      <c r="F48" s="216"/>
      <c r="G48" s="216"/>
      <c r="H48" s="216"/>
      <c r="I48" s="216"/>
      <c r="J48" s="216"/>
      <c r="K48" s="216"/>
      <c r="L48" s="216"/>
      <c r="M48" s="216"/>
      <c r="AK48" s="76"/>
      <c r="AL48" s="76"/>
      <c r="AM48" s="76"/>
    </row>
    <row r="49" spans="1:66" x14ac:dyDescent="0.25">
      <c r="A49" s="25"/>
    </row>
    <row r="50" spans="1:66" x14ac:dyDescent="0.25">
      <c r="A50" s="25" t="s">
        <v>55</v>
      </c>
      <c r="B50" s="1" t="s">
        <v>56</v>
      </c>
    </row>
    <row r="51" spans="1:66" x14ac:dyDescent="0.25">
      <c r="A51" s="25"/>
      <c r="B51" s="1" t="s">
        <v>57</v>
      </c>
    </row>
    <row r="52" spans="1:66" x14ac:dyDescent="0.25">
      <c r="A52" s="25"/>
      <c r="B52" s="1" t="s">
        <v>58</v>
      </c>
    </row>
    <row r="53" spans="1:66" x14ac:dyDescent="0.25">
      <c r="A53" s="25"/>
    </row>
    <row r="54" spans="1:66" s="80" customFormat="1" x14ac:dyDescent="0.25">
      <c r="A54" s="79" t="s">
        <v>59</v>
      </c>
      <c r="B54" s="80" t="s">
        <v>60</v>
      </c>
    </row>
    <row r="55" spans="1:66" x14ac:dyDescent="0.25">
      <c r="A55" s="25"/>
    </row>
    <row r="56" spans="1:66" x14ac:dyDescent="0.25">
      <c r="A56" s="25" t="s">
        <v>61</v>
      </c>
      <c r="B56" s="1" t="s">
        <v>62</v>
      </c>
    </row>
    <row r="57" spans="1:66" x14ac:dyDescent="0.25">
      <c r="A57" s="25"/>
    </row>
    <row r="58" spans="1:66" ht="45" customHeight="1" x14ac:dyDescent="0.25">
      <c r="B58" s="39"/>
      <c r="C58" s="217" t="s">
        <v>2</v>
      </c>
      <c r="D58" s="217"/>
      <c r="E58" s="90"/>
      <c r="F58" s="218" t="s">
        <v>3</v>
      </c>
      <c r="G58" s="218"/>
      <c r="H58" s="52"/>
      <c r="I58" s="212" t="s">
        <v>4</v>
      </c>
      <c r="J58" s="212"/>
      <c r="K58" s="52"/>
      <c r="L58" s="219" t="s">
        <v>5</v>
      </c>
      <c r="M58" s="219"/>
      <c r="N58" s="52"/>
      <c r="O58" s="219" t="s">
        <v>6</v>
      </c>
      <c r="P58" s="219"/>
      <c r="Q58" s="52"/>
      <c r="R58" s="219" t="s">
        <v>7</v>
      </c>
      <c r="S58" s="219"/>
      <c r="T58" s="52"/>
      <c r="U58" s="214" t="s">
        <v>8</v>
      </c>
      <c r="V58" s="214"/>
      <c r="W58" s="52"/>
      <c r="X58" s="211" t="s">
        <v>9</v>
      </c>
      <c r="Y58" s="211"/>
      <c r="AA58" s="215" t="s">
        <v>10</v>
      </c>
      <c r="AB58" s="215"/>
      <c r="AD58" s="211" t="s">
        <v>11</v>
      </c>
      <c r="AE58" s="211"/>
      <c r="AG58" s="211" t="s">
        <v>12</v>
      </c>
      <c r="AH58" s="211"/>
      <c r="AJ58" s="211" t="s">
        <v>13</v>
      </c>
      <c r="AK58" s="211"/>
      <c r="AM58" s="211" t="s">
        <v>14</v>
      </c>
      <c r="AN58" s="211"/>
      <c r="AP58" s="212" t="s">
        <v>15</v>
      </c>
      <c r="AQ58" s="212"/>
      <c r="AS58" s="211" t="s">
        <v>16</v>
      </c>
      <c r="AT58" s="211"/>
      <c r="AV58" s="213" t="s">
        <v>17</v>
      </c>
      <c r="AW58" s="213"/>
      <c r="AY58" s="213" t="s">
        <v>18</v>
      </c>
      <c r="AZ58" s="213"/>
      <c r="BB58" s="213" t="s">
        <v>19</v>
      </c>
      <c r="BC58" s="213"/>
    </row>
    <row r="59" spans="1:66" s="34" customFormat="1" x14ac:dyDescent="0.25">
      <c r="C59" s="54" t="s">
        <v>20</v>
      </c>
      <c r="D59" s="54" t="s">
        <v>21</v>
      </c>
      <c r="E59" s="54"/>
      <c r="F59" s="34" t="s">
        <v>20</v>
      </c>
      <c r="G59" s="54" t="s">
        <v>21</v>
      </c>
      <c r="I59" s="34" t="s">
        <v>20</v>
      </c>
      <c r="J59" s="54" t="s">
        <v>21</v>
      </c>
      <c r="L59" s="34" t="s">
        <v>20</v>
      </c>
      <c r="M59" s="54" t="s">
        <v>21</v>
      </c>
      <c r="O59" s="34" t="s">
        <v>20</v>
      </c>
      <c r="P59" s="54" t="s">
        <v>21</v>
      </c>
      <c r="R59" s="34" t="s">
        <v>20</v>
      </c>
      <c r="S59" s="54" t="s">
        <v>21</v>
      </c>
      <c r="U59" s="34" t="s">
        <v>20</v>
      </c>
      <c r="V59" s="34" t="s">
        <v>21</v>
      </c>
      <c r="X59" s="34" t="s">
        <v>20</v>
      </c>
      <c r="Y59" s="34" t="s">
        <v>21</v>
      </c>
      <c r="AA59" s="34" t="s">
        <v>20</v>
      </c>
      <c r="AB59" s="34" t="s">
        <v>21</v>
      </c>
      <c r="AD59" s="34" t="s">
        <v>20</v>
      </c>
      <c r="AE59" s="34" t="s">
        <v>21</v>
      </c>
      <c r="AG59" s="34" t="s">
        <v>20</v>
      </c>
      <c r="AH59" s="34" t="s">
        <v>21</v>
      </c>
      <c r="AJ59" s="34" t="s">
        <v>20</v>
      </c>
      <c r="AK59" s="34" t="s">
        <v>21</v>
      </c>
      <c r="AM59" s="34" t="s">
        <v>20</v>
      </c>
      <c r="AN59" s="34" t="s">
        <v>21</v>
      </c>
      <c r="AP59" s="34" t="s">
        <v>20</v>
      </c>
      <c r="AQ59" s="34" t="s">
        <v>21</v>
      </c>
      <c r="AS59" s="34" t="s">
        <v>20</v>
      </c>
      <c r="AT59" s="34" t="s">
        <v>21</v>
      </c>
      <c r="AV59" s="34" t="s">
        <v>20</v>
      </c>
      <c r="AW59" s="54" t="s">
        <v>21</v>
      </c>
      <c r="AY59" s="34" t="s">
        <v>20</v>
      </c>
      <c r="AZ59" s="54" t="s">
        <v>21</v>
      </c>
      <c r="BB59" s="34" t="s">
        <v>20</v>
      </c>
      <c r="BC59" s="54" t="s">
        <v>21</v>
      </c>
    </row>
    <row r="60" spans="1:66" x14ac:dyDescent="0.25">
      <c r="A60" s="25"/>
      <c r="C60" s="39"/>
      <c r="D60" s="39"/>
      <c r="E60" s="39"/>
      <c r="F60" s="39"/>
      <c r="G60" s="39"/>
      <c r="H60" s="39"/>
      <c r="I60" s="39"/>
      <c r="J60" s="39"/>
      <c r="K60" s="39"/>
      <c r="L60" s="39"/>
    </row>
    <row r="61" spans="1:66" s="52" customFormat="1" ht="60" customHeight="1" x14ac:dyDescent="0.25">
      <c r="A61" s="158" t="s">
        <v>63</v>
      </c>
      <c r="B61" s="157"/>
      <c r="C61" s="168">
        <v>16.45</v>
      </c>
      <c r="D61" s="168">
        <v>16.45</v>
      </c>
      <c r="E61" s="74"/>
      <c r="F61" s="74">
        <f t="shared" ref="F61:G61" si="92">C61*SUM(1+$G$1/$X$1)</f>
        <v>19.476799999999997</v>
      </c>
      <c r="G61" s="74">
        <f t="shared" si="92"/>
        <v>19.476799999999997</v>
      </c>
      <c r="H61" s="74"/>
      <c r="I61" s="74">
        <f t="shared" ref="I61:J61" si="93">F61-C61</f>
        <v>3.0267999999999979</v>
      </c>
      <c r="J61" s="74">
        <f t="shared" si="93"/>
        <v>3.0267999999999979</v>
      </c>
      <c r="K61" s="51"/>
      <c r="L61" s="160">
        <f t="shared" ref="L61:M61" si="94">ROUND(C61*(1+$G$1*2),2)*SUM(1+$M$1)</f>
        <v>21.428000000000001</v>
      </c>
      <c r="M61" s="160">
        <f t="shared" si="94"/>
        <v>21.428000000000001</v>
      </c>
      <c r="O61" s="74">
        <f t="shared" ref="O61:P61" si="95">L61-C61</f>
        <v>4.9780000000000015</v>
      </c>
      <c r="P61" s="74">
        <f t="shared" si="95"/>
        <v>4.9780000000000015</v>
      </c>
      <c r="R61" s="93">
        <f t="shared" ref="R61:S61" si="96">AJ61/F61</f>
        <v>0.1001191160765629</v>
      </c>
      <c r="S61" s="93">
        <f t="shared" si="96"/>
        <v>0.1001191160765629</v>
      </c>
      <c r="U61" s="74">
        <f t="shared" ref="U61:V61" si="97">SUM(C61/(1-$X$1))</f>
        <v>32.9</v>
      </c>
      <c r="V61" s="74">
        <f t="shared" si="97"/>
        <v>32.9</v>
      </c>
      <c r="X61" s="74">
        <f t="shared" ref="X61" si="98">ROUND(C61/(1-$X$1)*1.2,2)</f>
        <v>39.479999999999997</v>
      </c>
      <c r="Y61" s="74">
        <f t="shared" ref="Y61" si="99">ROUND(D61/(1-$X$1)*1.2,2)</f>
        <v>39.479999999999997</v>
      </c>
      <c r="Z61" s="94"/>
      <c r="AA61" s="183">
        <f t="shared" ref="AA61" si="100">ROUNDDOWN(C61/(1-$X$1)*1.2,1)</f>
        <v>39.4</v>
      </c>
      <c r="AB61" s="183">
        <f t="shared" ref="AB61" si="101">ROUNDDOWN(D61/(1-$X$1)*1.2,1)</f>
        <v>39.4</v>
      </c>
      <c r="AD61" s="94">
        <f t="shared" ref="AD61" si="102">AA61/1.2</f>
        <v>32.833333333333336</v>
      </c>
      <c r="AE61" s="94">
        <f t="shared" ref="AE61" si="103">AB61/1.2</f>
        <v>32.833333333333336</v>
      </c>
      <c r="AG61" s="94">
        <f t="shared" ref="AG61" si="104">X61-AA61</f>
        <v>7.9999999999998295E-2</v>
      </c>
      <c r="AH61" s="94">
        <f t="shared" ref="AH61" si="105">Y61-AB61</f>
        <v>7.9999999999998295E-2</v>
      </c>
      <c r="AI61" s="94"/>
      <c r="AJ61" s="94">
        <f t="shared" ref="AJ61:AK61" si="106">ROUND(L61*(1-(1/(1+$AL$1))),2)</f>
        <v>1.95</v>
      </c>
      <c r="AK61" s="94">
        <f t="shared" si="106"/>
        <v>1.95</v>
      </c>
      <c r="AL61" s="94"/>
      <c r="AM61" s="181">
        <f t="shared" ref="AM61" si="107">SUM(U61-F61)-AG61</f>
        <v>13.343200000000003</v>
      </c>
      <c r="AN61" s="181">
        <f t="shared" ref="AN61" si="108">SUM(V61-G61)-AH61</f>
        <v>13.343200000000003</v>
      </c>
      <c r="AP61" s="135">
        <f t="shared" ref="AP61:AQ61" si="109">(SUM(F61-C61)/C61)/2</f>
        <v>9.1999999999999943E-2</v>
      </c>
      <c r="AQ61" s="135">
        <f t="shared" si="109"/>
        <v>9.1999999999999943E-2</v>
      </c>
      <c r="AS61" s="135">
        <f t="shared" ref="AS61:AT61" si="110">AM61/U61</f>
        <v>0.40556838905775089</v>
      </c>
      <c r="AT61" s="135">
        <f t="shared" si="110"/>
        <v>0.40556838905775089</v>
      </c>
      <c r="AV61" s="93">
        <f t="shared" ref="AV61:AW61" si="111">C61/U61</f>
        <v>0.5</v>
      </c>
      <c r="AW61" s="93">
        <f t="shared" si="111"/>
        <v>0.5</v>
      </c>
      <c r="AY61" s="136">
        <f t="shared" ref="AY61:AZ61" si="112">I61+AM61</f>
        <v>16.37</v>
      </c>
      <c r="AZ61" s="136">
        <f t="shared" si="112"/>
        <v>16.37</v>
      </c>
      <c r="BB61" s="93">
        <f t="shared" ref="BB61:BC61" si="113">AY61/(C61/$X$1)</f>
        <v>0.4975683890577508</v>
      </c>
      <c r="BC61" s="93">
        <f t="shared" si="113"/>
        <v>0.4975683890577508</v>
      </c>
      <c r="BK61" s="125" t="e">
        <f>SUM(U61-L61)-#REF!</f>
        <v>#REF!</v>
      </c>
      <c r="BN61" s="124" t="e">
        <f>BK61/U61</f>
        <v>#REF!</v>
      </c>
    </row>
    <row r="62" spans="1:66" x14ac:dyDescent="0.25">
      <c r="C62" s="39"/>
      <c r="D62" s="39"/>
      <c r="E62" s="39"/>
      <c r="F62" s="39"/>
      <c r="G62" s="39"/>
      <c r="H62" s="39"/>
      <c r="I62" s="39"/>
      <c r="J62" s="39"/>
      <c r="K62" s="39"/>
      <c r="L62" s="39"/>
      <c r="BN62" s="76"/>
    </row>
    <row r="63" spans="1:66" x14ac:dyDescent="0.25">
      <c r="A63" s="48" t="s">
        <v>64</v>
      </c>
      <c r="B63" s="44" t="s">
        <v>65</v>
      </c>
      <c r="C63" s="45" t="s">
        <v>66</v>
      </c>
    </row>
    <row r="64" spans="1:66" ht="29.25" customHeight="1" x14ac:dyDescent="0.25">
      <c r="A64" s="49"/>
      <c r="B64" s="209" t="s">
        <v>67</v>
      </c>
      <c r="C64" s="210" t="s">
        <v>68</v>
      </c>
      <c r="D64" s="210"/>
      <c r="E64" s="210"/>
      <c r="F64" s="210"/>
      <c r="G64" s="210"/>
      <c r="H64" s="210"/>
      <c r="I64" s="210"/>
      <c r="J64" s="210"/>
      <c r="K64" s="210"/>
      <c r="L64" s="210"/>
      <c r="M64" s="210"/>
    </row>
    <row r="65" spans="1:13" ht="29.25" customHeight="1" x14ac:dyDescent="0.25">
      <c r="A65" s="49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0"/>
    </row>
    <row r="66" spans="1:13" x14ac:dyDescent="0.25">
      <c r="A66" s="25"/>
      <c r="B66" s="44" t="s">
        <v>69</v>
      </c>
      <c r="C66" s="45" t="s">
        <v>70</v>
      </c>
    </row>
    <row r="67" spans="1:13" x14ac:dyDescent="0.25">
      <c r="A67" s="25"/>
      <c r="B67" s="44" t="s">
        <v>71</v>
      </c>
      <c r="C67" s="45" t="s">
        <v>72</v>
      </c>
    </row>
    <row r="68" spans="1:13" x14ac:dyDescent="0.25">
      <c r="A68" s="25"/>
      <c r="B68" s="44"/>
      <c r="C68" s="45"/>
    </row>
    <row r="69" spans="1:13" x14ac:dyDescent="0.25">
      <c r="A69" s="25" t="s">
        <v>73</v>
      </c>
      <c r="B69" s="1" t="s">
        <v>74</v>
      </c>
      <c r="C69" s="46" t="s">
        <v>75</v>
      </c>
      <c r="L69" s="47"/>
    </row>
    <row r="70" spans="1:13" x14ac:dyDescent="0.25">
      <c r="A70" s="25"/>
      <c r="B70" s="1" t="s">
        <v>76</v>
      </c>
      <c r="C70" s="47" t="s">
        <v>77</v>
      </c>
      <c r="L70" s="47"/>
    </row>
    <row r="71" spans="1:13" x14ac:dyDescent="0.25">
      <c r="A71" s="25"/>
      <c r="B71" s="1" t="s">
        <v>78</v>
      </c>
      <c r="C71" s="47" t="s">
        <v>79</v>
      </c>
      <c r="L71" s="47"/>
    </row>
    <row r="72" spans="1:13" x14ac:dyDescent="0.25">
      <c r="A72" s="25"/>
      <c r="B72" s="1" t="s">
        <v>80</v>
      </c>
      <c r="C72" s="47" t="s">
        <v>81</v>
      </c>
      <c r="L72" s="47"/>
    </row>
    <row r="73" spans="1:13" x14ac:dyDescent="0.25">
      <c r="A73" s="25"/>
    </row>
    <row r="74" spans="1:13" x14ac:dyDescent="0.25">
      <c r="A74" s="46" t="s">
        <v>82</v>
      </c>
      <c r="B74" s="1" t="s">
        <v>83</v>
      </c>
    </row>
    <row r="76" spans="1:13" x14ac:dyDescent="0.25">
      <c r="A76" s="119" t="s">
        <v>84</v>
      </c>
    </row>
    <row r="77" spans="1:13" x14ac:dyDescent="0.25">
      <c r="B77" s="47"/>
    </row>
    <row r="78" spans="1:13" x14ac:dyDescent="0.25">
      <c r="B78" s="47"/>
    </row>
    <row r="79" spans="1:13" x14ac:dyDescent="0.25">
      <c r="B79" s="47"/>
    </row>
  </sheetData>
  <mergeCells count="40">
    <mergeCell ref="B64:B65"/>
    <mergeCell ref="C64:M65"/>
    <mergeCell ref="AM58:AN58"/>
    <mergeCell ref="AP58:AQ58"/>
    <mergeCell ref="AY58:AZ58"/>
    <mergeCell ref="BB58:BC58"/>
    <mergeCell ref="U58:V58"/>
    <mergeCell ref="X58:Y58"/>
    <mergeCell ref="AJ58:AK58"/>
    <mergeCell ref="AA58:AB58"/>
    <mergeCell ref="AD58:AE58"/>
    <mergeCell ref="AG58:AH58"/>
    <mergeCell ref="AV2:AW2"/>
    <mergeCell ref="AY2:AZ2"/>
    <mergeCell ref="BB2:BC2"/>
    <mergeCell ref="B48:M48"/>
    <mergeCell ref="C58:D58"/>
    <mergeCell ref="F58:G58"/>
    <mergeCell ref="I58:J58"/>
    <mergeCell ref="L58:M58"/>
    <mergeCell ref="O58:P58"/>
    <mergeCell ref="R58:S58"/>
    <mergeCell ref="AJ2:AK2"/>
    <mergeCell ref="AM2:AN2"/>
    <mergeCell ref="AP2:AQ2"/>
    <mergeCell ref="AS2:AT2"/>
    <mergeCell ref="AS58:AT58"/>
    <mergeCell ref="AV58:AW58"/>
    <mergeCell ref="AM1:AN1"/>
    <mergeCell ref="C2:D2"/>
    <mergeCell ref="F2:G2"/>
    <mergeCell ref="I2:J2"/>
    <mergeCell ref="L2:M2"/>
    <mergeCell ref="O2:P2"/>
    <mergeCell ref="R2:S2"/>
    <mergeCell ref="U2:V2"/>
    <mergeCell ref="X2:Y2"/>
    <mergeCell ref="AD2:AE2"/>
    <mergeCell ref="AG2:AH2"/>
    <mergeCell ref="AA2:AB2"/>
  </mergeCells>
  <pageMargins left="0.7" right="0.7" top="0.75" bottom="0.75" header="0.3" footer="0.3"/>
  <pageSetup orientation="portrait" horizontalDpi="4294967295" verticalDpi="4294967295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5162A-C787-4F3B-B130-27E691ADFD75}">
  <sheetPr>
    <tabColor theme="6" tint="0.39997558519241921"/>
  </sheetPr>
  <dimension ref="A1:BB52"/>
  <sheetViews>
    <sheetView showGridLines="0" zoomScale="85" zoomScaleNormal="85" workbookViewId="0">
      <pane xSplit="2" ySplit="6" topLeftCell="C7" activePane="bottomRight" state="frozen"/>
      <selection pane="topRight" activeCell="C1" sqref="C1"/>
      <selection pane="bottomLeft" activeCell="A8" sqref="A8"/>
      <selection pane="bottomRight" activeCell="C7" sqref="C7"/>
    </sheetView>
  </sheetViews>
  <sheetFormatPr defaultColWidth="8.85546875" defaultRowHeight="15" x14ac:dyDescent="0.25"/>
  <cols>
    <col min="1" max="1" width="10" style="1" customWidth="1"/>
    <col min="2" max="2" width="20" style="25" bestFit="1" customWidth="1"/>
    <col min="3" max="6" width="12.5703125" style="1" customWidth="1"/>
    <col min="7" max="7" width="1.5703125" style="1" customWidth="1"/>
    <col min="8" max="11" width="12.5703125" style="1" customWidth="1"/>
    <col min="12" max="12" width="2.5703125" style="1" customWidth="1"/>
    <col min="13" max="16" width="12.5703125" style="1" customWidth="1"/>
    <col min="17" max="17" width="1.5703125" style="1" customWidth="1"/>
    <col min="18" max="21" width="12.5703125" style="1" customWidth="1"/>
    <col min="22" max="22" width="1.5703125" style="1" hidden="1" customWidth="1"/>
    <col min="23" max="26" width="12.5703125" style="1" hidden="1" customWidth="1"/>
    <col min="27" max="27" width="1.5703125" style="1" hidden="1" customWidth="1"/>
    <col min="28" max="31" width="12.5703125" style="1" hidden="1" customWidth="1"/>
    <col min="32" max="32" width="5.28515625" customWidth="1"/>
    <col min="33" max="36" width="12.5703125" style="1" customWidth="1"/>
    <col min="37" max="37" width="1.5703125" style="1" customWidth="1"/>
    <col min="38" max="41" width="12.5703125" style="1" customWidth="1"/>
    <col min="42" max="42" width="5.42578125" customWidth="1"/>
    <col min="43" max="43" width="8.85546875" style="1" hidden="1" customWidth="1"/>
    <col min="44" max="44" width="6.42578125" style="1" hidden="1" customWidth="1"/>
    <col min="45" max="54" width="12.5703125" style="1" hidden="1" customWidth="1"/>
    <col min="55" max="16384" width="8.85546875" style="1"/>
  </cols>
  <sheetData>
    <row r="1" spans="1:54" ht="19.5" thickBot="1" x14ac:dyDescent="0.35">
      <c r="A1" s="32" t="s">
        <v>94</v>
      </c>
      <c r="B1" s="36"/>
      <c r="C1" s="224" t="s">
        <v>125</v>
      </c>
      <c r="D1" s="225"/>
      <c r="E1" s="225"/>
      <c r="F1" s="225"/>
      <c r="G1" s="225"/>
      <c r="H1" s="225"/>
      <c r="I1" s="225"/>
      <c r="J1" s="225"/>
      <c r="K1" s="226"/>
      <c r="L1" s="3"/>
      <c r="M1" s="227" t="s">
        <v>126</v>
      </c>
      <c r="N1" s="228"/>
      <c r="O1" s="228"/>
      <c r="P1" s="228"/>
      <c r="Q1" s="228"/>
      <c r="R1" s="228"/>
      <c r="S1" s="228"/>
      <c r="T1" s="228"/>
      <c r="U1" s="229"/>
      <c r="W1" s="230" t="s">
        <v>95</v>
      </c>
      <c r="X1" s="231"/>
      <c r="Y1" s="231"/>
      <c r="Z1" s="231"/>
      <c r="AA1" s="231"/>
      <c r="AB1" s="231"/>
      <c r="AC1" s="231"/>
      <c r="AD1" s="231"/>
      <c r="AE1" s="232"/>
      <c r="AF1" s="84"/>
      <c r="AG1" s="230" t="s">
        <v>127</v>
      </c>
      <c r="AH1" s="231"/>
      <c r="AI1" s="231"/>
      <c r="AJ1" s="231"/>
      <c r="AK1" s="231"/>
      <c r="AL1" s="231"/>
      <c r="AM1" s="231"/>
      <c r="AN1" s="231"/>
      <c r="AO1" s="232"/>
      <c r="AP1" s="84"/>
    </row>
    <row r="2" spans="1:54" ht="15.75" thickBot="1" x14ac:dyDescent="0.3">
      <c r="A2" s="32" t="s">
        <v>96</v>
      </c>
      <c r="B2" s="36"/>
      <c r="AJ2" s="82">
        <v>0.5</v>
      </c>
      <c r="AR2" s="239" t="s">
        <v>97</v>
      </c>
      <c r="AS2" s="239"/>
      <c r="AT2" s="239"/>
      <c r="AU2" s="239"/>
      <c r="AV2" s="239"/>
      <c r="AW2" s="239"/>
      <c r="AX2" s="239"/>
      <c r="AY2" s="239"/>
      <c r="AZ2" s="239"/>
      <c r="BA2" s="239"/>
      <c r="BB2" s="239"/>
    </row>
    <row r="3" spans="1:54" s="4" customFormat="1" ht="15.75" thickBot="1" x14ac:dyDescent="0.3">
      <c r="A3" s="32" t="s">
        <v>98</v>
      </c>
      <c r="B3" s="34">
        <f>B2-B1+1</f>
        <v>1</v>
      </c>
      <c r="C3" s="236" t="s">
        <v>20</v>
      </c>
      <c r="D3" s="237"/>
      <c r="E3" s="237"/>
      <c r="F3" s="238"/>
      <c r="H3" s="233" t="s">
        <v>21</v>
      </c>
      <c r="I3" s="234"/>
      <c r="J3" s="234"/>
      <c r="K3" s="235"/>
      <c r="M3" s="236" t="s">
        <v>20</v>
      </c>
      <c r="N3" s="237"/>
      <c r="O3" s="237"/>
      <c r="P3" s="238"/>
      <c r="R3" s="233" t="s">
        <v>21</v>
      </c>
      <c r="S3" s="234"/>
      <c r="T3" s="234"/>
      <c r="U3" s="235"/>
      <c r="V3" s="1"/>
      <c r="W3" s="236" t="s">
        <v>20</v>
      </c>
      <c r="X3" s="237"/>
      <c r="Y3" s="237"/>
      <c r="Z3" s="238"/>
      <c r="AB3" s="233" t="s">
        <v>21</v>
      </c>
      <c r="AC3" s="234"/>
      <c r="AD3" s="234"/>
      <c r="AE3" s="235"/>
      <c r="AF3" s="85"/>
      <c r="AG3" s="236" t="s">
        <v>20</v>
      </c>
      <c r="AH3" s="237"/>
      <c r="AI3" s="237"/>
      <c r="AJ3" s="238"/>
      <c r="AL3" s="233" t="s">
        <v>21</v>
      </c>
      <c r="AM3" s="234"/>
      <c r="AN3" s="234"/>
      <c r="AO3" s="235"/>
      <c r="AP3" s="85"/>
      <c r="AS3" s="240" t="s">
        <v>99</v>
      </c>
      <c r="AT3" s="241"/>
      <c r="AU3" s="241"/>
      <c r="AV3" s="242"/>
      <c r="AW3" s="240" t="s">
        <v>100</v>
      </c>
      <c r="AX3" s="241"/>
      <c r="AY3" s="241"/>
      <c r="AZ3" s="242"/>
    </row>
    <row r="4" spans="1:54" ht="1.5" customHeight="1" thickBot="1" x14ac:dyDescent="0.3">
      <c r="B4" s="32">
        <v>102</v>
      </c>
      <c r="C4" s="2"/>
      <c r="D4" s="2"/>
      <c r="E4" s="2"/>
      <c r="F4" s="2"/>
      <c r="H4" s="2"/>
      <c r="I4" s="2"/>
      <c r="J4" s="2"/>
      <c r="K4" s="2"/>
      <c r="M4" s="2"/>
      <c r="N4" s="2"/>
      <c r="O4" s="2"/>
      <c r="P4" s="2"/>
      <c r="R4" s="2"/>
      <c r="S4" s="2"/>
      <c r="T4" s="2"/>
      <c r="U4" s="2"/>
      <c r="W4" s="2"/>
      <c r="X4" s="2"/>
      <c r="Y4" s="2"/>
      <c r="Z4" s="2"/>
      <c r="AB4" s="2"/>
      <c r="AC4" s="2"/>
      <c r="AD4" s="2"/>
      <c r="AE4" s="2"/>
      <c r="AF4" s="86"/>
      <c r="AG4" s="2"/>
      <c r="AH4" s="2"/>
      <c r="AI4" s="2"/>
      <c r="AJ4" s="2"/>
      <c r="AL4" s="2"/>
      <c r="AM4" s="2"/>
      <c r="AN4" s="2"/>
      <c r="AO4" s="2"/>
      <c r="AP4" s="86"/>
      <c r="AS4" s="63"/>
      <c r="AV4" s="57"/>
      <c r="AW4" s="63"/>
      <c r="AZ4" s="57"/>
    </row>
    <row r="5" spans="1:54" s="18" customFormat="1" ht="68.25" customHeight="1" thickBot="1" x14ac:dyDescent="0.3">
      <c r="A5" s="33" t="s">
        <v>101</v>
      </c>
      <c r="B5" s="35">
        <f>IF((B3-31)/7&gt;0,ROUNDUP((B3-31)/7,0),0)</f>
        <v>0</v>
      </c>
      <c r="C5" s="19" t="s">
        <v>22</v>
      </c>
      <c r="D5" s="20" t="s">
        <v>28</v>
      </c>
      <c r="E5" s="20" t="s">
        <v>102</v>
      </c>
      <c r="F5" s="21" t="s">
        <v>103</v>
      </c>
      <c r="G5" s="4"/>
      <c r="H5" s="22" t="s">
        <v>22</v>
      </c>
      <c r="I5" s="23" t="s">
        <v>28</v>
      </c>
      <c r="J5" s="23" t="s">
        <v>102</v>
      </c>
      <c r="K5" s="24" t="s">
        <v>103</v>
      </c>
      <c r="M5" s="19" t="s">
        <v>22</v>
      </c>
      <c r="N5" s="20" t="s">
        <v>28</v>
      </c>
      <c r="O5" s="20" t="s">
        <v>102</v>
      </c>
      <c r="P5" s="21" t="s">
        <v>103</v>
      </c>
      <c r="Q5" s="4"/>
      <c r="R5" s="22" t="s">
        <v>22</v>
      </c>
      <c r="S5" s="23" t="s">
        <v>28</v>
      </c>
      <c r="T5" s="23" t="s">
        <v>102</v>
      </c>
      <c r="U5" s="24" t="s">
        <v>103</v>
      </c>
      <c r="V5" s="1"/>
      <c r="W5" s="19" t="s">
        <v>22</v>
      </c>
      <c r="X5" s="20" t="s">
        <v>28</v>
      </c>
      <c r="Y5" s="20" t="s">
        <v>102</v>
      </c>
      <c r="Z5" s="21" t="s">
        <v>103</v>
      </c>
      <c r="AA5" s="4"/>
      <c r="AB5" s="22" t="s">
        <v>22</v>
      </c>
      <c r="AC5" s="23" t="s">
        <v>28</v>
      </c>
      <c r="AD5" s="23" t="s">
        <v>102</v>
      </c>
      <c r="AE5" s="24" t="s">
        <v>103</v>
      </c>
      <c r="AF5" s="87"/>
      <c r="AG5" s="19" t="s">
        <v>22</v>
      </c>
      <c r="AH5" s="20" t="s">
        <v>28</v>
      </c>
      <c r="AI5" s="20" t="s">
        <v>102</v>
      </c>
      <c r="AJ5" s="21" t="s">
        <v>103</v>
      </c>
      <c r="AK5" s="4"/>
      <c r="AL5" s="22" t="s">
        <v>22</v>
      </c>
      <c r="AM5" s="23" t="s">
        <v>28</v>
      </c>
      <c r="AN5" s="23" t="s">
        <v>102</v>
      </c>
      <c r="AO5" s="24" t="s">
        <v>103</v>
      </c>
      <c r="AP5" s="87"/>
      <c r="AR5" s="66" t="s">
        <v>104</v>
      </c>
      <c r="AS5" s="61" t="s">
        <v>105</v>
      </c>
      <c r="AT5" s="62" t="s">
        <v>106</v>
      </c>
      <c r="AU5" s="62" t="s">
        <v>107</v>
      </c>
      <c r="AV5" s="60" t="s">
        <v>108</v>
      </c>
      <c r="AW5" s="61" t="s">
        <v>109</v>
      </c>
      <c r="AX5" s="62" t="s">
        <v>110</v>
      </c>
      <c r="AY5" s="62" t="s">
        <v>111</v>
      </c>
      <c r="AZ5" s="60" t="s">
        <v>112</v>
      </c>
      <c r="BA5" s="66" t="s">
        <v>113</v>
      </c>
      <c r="BB5" s="62" t="s">
        <v>114</v>
      </c>
    </row>
    <row r="6" spans="1:54" ht="12.75" customHeight="1" thickBot="1" x14ac:dyDescent="0.3">
      <c r="AR6" s="55"/>
      <c r="AS6" s="63"/>
      <c r="AV6" s="57"/>
      <c r="AW6" s="63"/>
      <c r="AZ6" s="57"/>
      <c r="BA6" s="55"/>
    </row>
    <row r="7" spans="1:54" ht="12.75" customHeight="1" x14ac:dyDescent="0.25">
      <c r="A7" s="221" t="s">
        <v>115</v>
      </c>
      <c r="B7" s="26" t="s">
        <v>23</v>
      </c>
      <c r="C7" s="169">
        <f>'Single Trip Standard re Jan25'!C5</f>
        <v>7.92</v>
      </c>
      <c r="D7" s="106">
        <f>'Single Trip Standard re Jan25'!C12</f>
        <v>10.01</v>
      </c>
      <c r="E7" s="106">
        <f>'Single Trip Standard re Jan25'!C20</f>
        <v>21.08</v>
      </c>
      <c r="F7" s="107">
        <f>'Single Trip Standard re Jan25'!C28</f>
        <v>24.26</v>
      </c>
      <c r="G7" s="108"/>
      <c r="H7" s="109">
        <f>'Single Trip Standard re Jan25'!D5</f>
        <v>12.11</v>
      </c>
      <c r="I7" s="110">
        <f>'Single Trip Standard re Jan25'!D12</f>
        <v>16.489999999999998</v>
      </c>
      <c r="J7" s="110">
        <f>'Single Trip Standard re Jan25'!D20</f>
        <v>26.14</v>
      </c>
      <c r="K7" s="111">
        <f>'Single Trip Standard re Jan25'!D28</f>
        <v>28.9</v>
      </c>
      <c r="L7" s="8"/>
      <c r="M7" s="5">
        <f>'Single Trip Standard re Jan25'!L5</f>
        <v>10.318000000000001</v>
      </c>
      <c r="N7" s="6">
        <f>'Single Trip Standard re Jan25'!L12</f>
        <v>13.035</v>
      </c>
      <c r="O7" s="6">
        <f>'Single Trip Standard re Jan25'!L20</f>
        <v>27.456000000000003</v>
      </c>
      <c r="P7" s="107">
        <f>'Single Trip Standard re Jan25'!L28</f>
        <v>31.592000000000002</v>
      </c>
      <c r="Q7" s="8"/>
      <c r="R7" s="9">
        <f>'Single Trip Standard re Jan25'!M5</f>
        <v>15.774000000000001</v>
      </c>
      <c r="S7" s="10">
        <f>'Single Trip Standard re Jan25'!M12</f>
        <v>21.472000000000001</v>
      </c>
      <c r="T7" s="10">
        <f>'Single Trip Standard re Jan25'!M20</f>
        <v>34.045000000000002</v>
      </c>
      <c r="U7" s="11">
        <f>'Single Trip Standard re Jan25'!M28</f>
        <v>37.642000000000003</v>
      </c>
      <c r="W7" s="5" t="e">
        <f>SUM(C7/(1-#REF!)*1.2,1)</f>
        <v>#REF!</v>
      </c>
      <c r="X7" s="6" t="e">
        <f>SUM(D7/(1-#REF!)*1.2,1)</f>
        <v>#REF!</v>
      </c>
      <c r="Y7" s="6" t="e">
        <f>SUM(E7/(1-#REF!)*1.2,1)</f>
        <v>#REF!</v>
      </c>
      <c r="Z7" s="7" t="e">
        <f>SUM(F7/(1-#REF!)*1.2,1)</f>
        <v>#REF!</v>
      </c>
      <c r="AA7" s="8"/>
      <c r="AB7" s="9" t="e">
        <f>SUM(H7/(1-#REF!)*1.2,1)</f>
        <v>#REF!</v>
      </c>
      <c r="AC7" s="10" t="e">
        <f>SUM(I7/(1-#REF!)*1.2,1)</f>
        <v>#REF!</v>
      </c>
      <c r="AD7" s="10" t="e">
        <f>SUM(J7/(1-#REF!)*1.2,1)</f>
        <v>#REF!</v>
      </c>
      <c r="AE7" s="11" t="e">
        <f>SUM(K7/(1-#REF!)*1.2,1)</f>
        <v>#REF!</v>
      </c>
      <c r="AF7" s="88"/>
      <c r="AG7" s="5">
        <f>ROUNDDOWN(C7/(1-$AJ$2)*1.2,1)</f>
        <v>19</v>
      </c>
      <c r="AH7" s="6">
        <f>ROUNDDOWN(D7/(1-$AJ$2)*1.2,1)</f>
        <v>24</v>
      </c>
      <c r="AI7" s="6">
        <f>ROUNDDOWN(E7/(1-$AJ$2)*1.2,1)</f>
        <v>50.5</v>
      </c>
      <c r="AJ7" s="107">
        <f>ROUNDDOWN(F7/(1-$AJ$2)*1.2,1)</f>
        <v>58.2</v>
      </c>
      <c r="AK7" s="108"/>
      <c r="AL7" s="109">
        <f>ROUNDDOWN(H7/(1-$AJ$2)*1.2,1)</f>
        <v>29</v>
      </c>
      <c r="AM7" s="10">
        <f t="shared" ref="AM7:AO7" si="0">ROUNDDOWN(I7/(1-$AJ$2)*1.2,1)</f>
        <v>39.5</v>
      </c>
      <c r="AN7" s="10">
        <f t="shared" si="0"/>
        <v>62.7</v>
      </c>
      <c r="AO7" s="11">
        <f t="shared" si="0"/>
        <v>69.3</v>
      </c>
      <c r="AP7" s="88"/>
      <c r="AQ7" s="32" t="s">
        <v>116</v>
      </c>
      <c r="AR7" s="67">
        <f>N7</f>
        <v>13.035</v>
      </c>
      <c r="AS7" s="64">
        <f>AT7-AR7</f>
        <v>13.035</v>
      </c>
      <c r="AT7" s="56">
        <f>AR7*2</f>
        <v>26.07</v>
      </c>
      <c r="AU7" s="65">
        <f>AV7-AT7</f>
        <v>26.07</v>
      </c>
      <c r="AV7" s="58">
        <f>AT7*2</f>
        <v>52.14</v>
      </c>
      <c r="AW7" s="64" t="e">
        <f>#REF!</f>
        <v>#REF!</v>
      </c>
      <c r="AX7" s="56" t="e">
        <f>AV7+AW7</f>
        <v>#REF!</v>
      </c>
      <c r="AY7" s="65" t="e">
        <f>#REF!</f>
        <v>#REF!</v>
      </c>
      <c r="AZ7" s="58" t="e">
        <f>AX7+AY7</f>
        <v>#REF!</v>
      </c>
      <c r="BA7" s="67">
        <f>AR7*0.15</f>
        <v>1.9552499999999999</v>
      </c>
      <c r="BB7" s="56" t="e">
        <f>AZ7-BA7</f>
        <v>#REF!</v>
      </c>
    </row>
    <row r="8" spans="1:54" ht="14.45" customHeight="1" x14ac:dyDescent="0.25">
      <c r="A8" s="222"/>
      <c r="B8" s="27" t="s">
        <v>24</v>
      </c>
      <c r="C8" s="112">
        <f>'Single Trip Standard re Jan25'!C6</f>
        <v>8.32</v>
      </c>
      <c r="D8" s="113">
        <f>'Single Trip Standard re Jan25'!C13</f>
        <v>12.88</v>
      </c>
      <c r="E8" s="113">
        <f>'Single Trip Standard re Jan25'!C21</f>
        <v>25.38</v>
      </c>
      <c r="F8" s="114">
        <f>'Single Trip Standard re Jan25'!C29</f>
        <v>29.35</v>
      </c>
      <c r="G8" s="108"/>
      <c r="H8" s="115">
        <f>'Single Trip Standard re Jan25'!D6</f>
        <v>12.72</v>
      </c>
      <c r="I8" s="116">
        <f>'Single Trip Standard re Jan25'!D13</f>
        <v>19.73</v>
      </c>
      <c r="J8" s="116">
        <f>'Single Trip Standard re Jan25'!D21</f>
        <v>29.12</v>
      </c>
      <c r="K8" s="117">
        <f>'Single Trip Standard re Jan25'!D29</f>
        <v>34.76</v>
      </c>
      <c r="L8" s="8"/>
      <c r="M8" s="12">
        <f>'Single Trip Standard re Jan25'!L6</f>
        <v>10.835000000000001</v>
      </c>
      <c r="N8" s="13">
        <f>'Single Trip Standard re Jan25'!L13</f>
        <v>16.775000000000002</v>
      </c>
      <c r="O8" s="13">
        <f>'Single Trip Standard re Jan25'!L21</f>
        <v>33.055000000000007</v>
      </c>
      <c r="P8" s="114">
        <f>'Single Trip Standard re Jan25'!L29</f>
        <v>38.225000000000001</v>
      </c>
      <c r="Q8" s="8"/>
      <c r="R8" s="15">
        <f>'Single Trip Standard re Jan25'!M6</f>
        <v>16.566000000000003</v>
      </c>
      <c r="S8" s="16">
        <f>'Single Trip Standard re Jan25'!M13</f>
        <v>25.696000000000002</v>
      </c>
      <c r="T8" s="16">
        <f>'Single Trip Standard re Jan25'!M21</f>
        <v>37.927999999999997</v>
      </c>
      <c r="U8" s="17">
        <f>'Single Trip Standard re Jan25'!M29</f>
        <v>45.276000000000003</v>
      </c>
      <c r="W8" s="12" t="e">
        <f>SUM(C8/(1-#REF!)*1.2,1)</f>
        <v>#REF!</v>
      </c>
      <c r="X8" s="13" t="e">
        <f>SUM(D8/(1-#REF!)*1.2,1)</f>
        <v>#REF!</v>
      </c>
      <c r="Y8" s="13" t="e">
        <f>SUM(E8/(1-#REF!)*1.2,1)</f>
        <v>#REF!</v>
      </c>
      <c r="Z8" s="14" t="e">
        <f>SUM(F8/(1-#REF!)*1.2,1)</f>
        <v>#REF!</v>
      </c>
      <c r="AA8" s="8"/>
      <c r="AB8" s="15" t="e">
        <f>SUM(H8/(1-#REF!)*1.2,1)</f>
        <v>#REF!</v>
      </c>
      <c r="AC8" s="16" t="e">
        <f>SUM(I8/(1-#REF!)*1.2,1)</f>
        <v>#REF!</v>
      </c>
      <c r="AD8" s="16" t="e">
        <f>SUM(J8/(1-#REF!)*1.2,1)</f>
        <v>#REF!</v>
      </c>
      <c r="AE8" s="17" t="e">
        <f>SUM(K8/(1-#REF!)*1.2,1)</f>
        <v>#REF!</v>
      </c>
      <c r="AF8" s="88"/>
      <c r="AG8" s="12">
        <f t="shared" ref="AG8:AG11" si="1">ROUNDDOWN(C8/(1-$AJ$2)*1.2,1)</f>
        <v>19.899999999999999</v>
      </c>
      <c r="AH8" s="13">
        <f t="shared" ref="AH8:AH11" si="2">ROUNDDOWN(D8/(1-$AJ$2)*1.2,1)</f>
        <v>30.9</v>
      </c>
      <c r="AI8" s="13">
        <f t="shared" ref="AI8:AI11" si="3">ROUNDDOWN(E8/(1-$AJ$2)*1.2,1)</f>
        <v>60.9</v>
      </c>
      <c r="AJ8" s="114">
        <f t="shared" ref="AJ8:AJ11" si="4">ROUNDDOWN(F8/(1-$AJ$2)*1.2,1)</f>
        <v>70.400000000000006</v>
      </c>
      <c r="AK8" s="108"/>
      <c r="AL8" s="115">
        <f t="shared" ref="AL8:AL11" si="5">ROUNDDOWN(H8/(1-$AJ$2)*1.2,1)</f>
        <v>30.5</v>
      </c>
      <c r="AM8" s="16">
        <f t="shared" ref="AM8:AM12" si="6">ROUNDDOWN(I8/(1-$AJ$2)*1.2,1)</f>
        <v>47.3</v>
      </c>
      <c r="AN8" s="16">
        <f t="shared" ref="AN8:AN12" si="7">ROUNDDOWN(J8/(1-$AJ$2)*1.2,1)</f>
        <v>69.8</v>
      </c>
      <c r="AO8" s="17">
        <f t="shared" ref="AO8:AO12" si="8">ROUNDDOWN(K8/(1-$AJ$2)*1.2,1)</f>
        <v>83.4</v>
      </c>
      <c r="AP8" s="88"/>
      <c r="AQ8" s="73" t="s">
        <v>117</v>
      </c>
      <c r="AR8" s="68">
        <f>D7</f>
        <v>10.01</v>
      </c>
      <c r="AS8" s="69">
        <f>AT8-AR8</f>
        <v>10.01</v>
      </c>
      <c r="AT8" s="70">
        <f>AR8*2</f>
        <v>20.02</v>
      </c>
      <c r="AU8" s="71">
        <f>AV8-AT8</f>
        <v>20.02</v>
      </c>
      <c r="AV8" s="72">
        <f>AT8*2</f>
        <v>40.04</v>
      </c>
      <c r="AW8" s="69" t="e">
        <f>#REF!</f>
        <v>#REF!</v>
      </c>
      <c r="AX8" s="70" t="e">
        <f>AV8+AW8</f>
        <v>#REF!</v>
      </c>
      <c r="AY8" s="71" t="e">
        <f>#REF!</f>
        <v>#REF!</v>
      </c>
      <c r="AZ8" s="72" t="e">
        <f>AX8+AY8</f>
        <v>#REF!</v>
      </c>
      <c r="BA8" s="68">
        <f>AR8*0.15</f>
        <v>1.5014999999999998</v>
      </c>
      <c r="BB8" s="70" t="e">
        <f>AZ8-BA8</f>
        <v>#REF!</v>
      </c>
    </row>
    <row r="9" spans="1:54" ht="14.45" customHeight="1" x14ac:dyDescent="0.25">
      <c r="A9" s="222"/>
      <c r="B9" s="27" t="s">
        <v>25</v>
      </c>
      <c r="C9" s="112">
        <f>'Single Trip Standard re Jan25'!C7</f>
        <v>9.18</v>
      </c>
      <c r="D9" s="113">
        <f>'Single Trip Standard re Jan25'!C14</f>
        <v>15.16</v>
      </c>
      <c r="E9" s="113">
        <f>'Single Trip Standard re Jan25'!C22</f>
        <v>30.97</v>
      </c>
      <c r="F9" s="114">
        <f>'Single Trip Standard re Jan25'!C30</f>
        <v>36.22</v>
      </c>
      <c r="G9" s="108"/>
      <c r="H9" s="115">
        <f>'Single Trip Standard re Jan25'!D7</f>
        <v>14.05</v>
      </c>
      <c r="I9" s="116">
        <f>'Single Trip Standard re Jan25'!D14</f>
        <v>22.13</v>
      </c>
      <c r="J9" s="116">
        <f>'Single Trip Standard re Jan25'!D22</f>
        <v>35.799999999999997</v>
      </c>
      <c r="K9" s="117">
        <f>'Single Trip Standard re Jan25'!D30</f>
        <v>40.26</v>
      </c>
      <c r="L9" s="8"/>
      <c r="M9" s="12">
        <f>'Single Trip Standard re Jan25'!L7</f>
        <v>11.957000000000001</v>
      </c>
      <c r="N9" s="13">
        <f>'Single Trip Standard re Jan25'!L14</f>
        <v>19.745000000000001</v>
      </c>
      <c r="O9" s="13">
        <f>'Single Trip Standard re Jan25'!L22</f>
        <v>40.337000000000003</v>
      </c>
      <c r="P9" s="114">
        <f>'Single Trip Standard re Jan25'!L30</f>
        <v>47.168000000000006</v>
      </c>
      <c r="Q9" s="8"/>
      <c r="R9" s="15">
        <f>'Single Trip Standard re Jan25'!M7</f>
        <v>18.304000000000002</v>
      </c>
      <c r="S9" s="16">
        <f>'Single Trip Standard re Jan25'!M14</f>
        <v>28.82</v>
      </c>
      <c r="T9" s="16">
        <f>'Single Trip Standard re Jan25'!M22</f>
        <v>46.629000000000005</v>
      </c>
      <c r="U9" s="17">
        <f>'Single Trip Standard re Jan25'!M30</f>
        <v>52.437000000000005</v>
      </c>
      <c r="W9" s="12" t="e">
        <f>SUM(C9/(1-#REF!)*1.2,1)</f>
        <v>#REF!</v>
      </c>
      <c r="X9" s="13" t="e">
        <f>SUM(D9/(1-#REF!)*1.2,1)</f>
        <v>#REF!</v>
      </c>
      <c r="Y9" s="13" t="e">
        <f>SUM(E9/(1-#REF!)*1.2,1)</f>
        <v>#REF!</v>
      </c>
      <c r="Z9" s="14" t="e">
        <f>SUM(F9/(1-#REF!)*1.2,1)</f>
        <v>#REF!</v>
      </c>
      <c r="AA9" s="8"/>
      <c r="AB9" s="15" t="e">
        <f>SUM(H9/(1-#REF!)*1.2,1)</f>
        <v>#REF!</v>
      </c>
      <c r="AC9" s="16" t="e">
        <f>SUM(I9/(1-#REF!)*1.2,1)</f>
        <v>#REF!</v>
      </c>
      <c r="AD9" s="16" t="e">
        <f>SUM(J9/(1-#REF!)*1.2,1)</f>
        <v>#REF!</v>
      </c>
      <c r="AE9" s="17" t="e">
        <f>SUM(K9/(1-#REF!)*1.2,1)</f>
        <v>#REF!</v>
      </c>
      <c r="AF9" s="88"/>
      <c r="AG9" s="12">
        <f t="shared" si="1"/>
        <v>22</v>
      </c>
      <c r="AH9" s="13">
        <f t="shared" si="2"/>
        <v>36.299999999999997</v>
      </c>
      <c r="AI9" s="13">
        <f t="shared" si="3"/>
        <v>74.3</v>
      </c>
      <c r="AJ9" s="114">
        <f t="shared" si="4"/>
        <v>86.9</v>
      </c>
      <c r="AK9" s="108"/>
      <c r="AL9" s="115">
        <f t="shared" si="5"/>
        <v>33.700000000000003</v>
      </c>
      <c r="AM9" s="16">
        <f t="shared" si="6"/>
        <v>53.1</v>
      </c>
      <c r="AN9" s="16">
        <f t="shared" si="7"/>
        <v>85.9</v>
      </c>
      <c r="AO9" s="17">
        <f t="shared" si="8"/>
        <v>96.6</v>
      </c>
      <c r="AP9" s="88"/>
      <c r="AR9" s="37"/>
    </row>
    <row r="10" spans="1:54" ht="14.45" customHeight="1" x14ac:dyDescent="0.25">
      <c r="A10" s="222"/>
      <c r="B10" s="27" t="s">
        <v>26</v>
      </c>
      <c r="C10" s="112">
        <f>'Single Trip Standard re Jan25'!C8</f>
        <v>10.130000000000001</v>
      </c>
      <c r="D10" s="113">
        <f>'Single Trip Standard re Jan25'!C15</f>
        <v>20.03</v>
      </c>
      <c r="E10" s="113">
        <f>'Single Trip Standard re Jan25'!C23</f>
        <v>38.26</v>
      </c>
      <c r="F10" s="114">
        <f>'Single Trip Standard re Jan25'!C31</f>
        <v>45.4</v>
      </c>
      <c r="G10" s="108"/>
      <c r="H10" s="115">
        <f>'Single Trip Standard re Jan25'!D8</f>
        <v>15.47</v>
      </c>
      <c r="I10" s="116">
        <f>'Single Trip Standard re Jan25'!D15</f>
        <v>28.24</v>
      </c>
      <c r="J10" s="116">
        <f>'Single Trip Standard re Jan25'!D23</f>
        <v>44.16</v>
      </c>
      <c r="K10" s="117">
        <f>'Single Trip Standard re Jan25'!D31</f>
        <v>52.19</v>
      </c>
      <c r="L10" s="8"/>
      <c r="M10" s="12">
        <f>'Single Trip Standard re Jan25'!L8</f>
        <v>13.189000000000002</v>
      </c>
      <c r="N10" s="13">
        <f>'Single Trip Standard re Jan25'!L15</f>
        <v>26.092000000000002</v>
      </c>
      <c r="O10" s="13">
        <f>'Single Trip Standard re Jan25'!L23</f>
        <v>49.83</v>
      </c>
      <c r="P10" s="114">
        <f>'Single Trip Standard re Jan25'!L31</f>
        <v>59.125000000000007</v>
      </c>
      <c r="Q10" s="8"/>
      <c r="R10" s="15">
        <f>'Single Trip Standard re Jan25'!M8</f>
        <v>20.152000000000001</v>
      </c>
      <c r="S10" s="16">
        <f>'Single Trip Standard re Jan25'!M15</f>
        <v>36.783999999999999</v>
      </c>
      <c r="T10" s="16">
        <f>'Single Trip Standard re Jan25'!M23</f>
        <v>57.519000000000005</v>
      </c>
      <c r="U10" s="17">
        <f>'Single Trip Standard re Jan25'!M31</f>
        <v>67.969000000000008</v>
      </c>
      <c r="W10" s="12" t="e">
        <f>SUM(C10/(1-#REF!)*1.2,1)</f>
        <v>#REF!</v>
      </c>
      <c r="X10" s="13" t="e">
        <f>SUM(D10/(1-#REF!)*1.2,1)</f>
        <v>#REF!</v>
      </c>
      <c r="Y10" s="13" t="e">
        <f>SUM(E10/(1-#REF!)*1.2,1)</f>
        <v>#REF!</v>
      </c>
      <c r="Z10" s="14" t="e">
        <f>SUM(F10/(1-#REF!)*1.2,1)</f>
        <v>#REF!</v>
      </c>
      <c r="AA10" s="8"/>
      <c r="AB10" s="15" t="e">
        <f>SUM(H10/(1-#REF!)*1.2,1)</f>
        <v>#REF!</v>
      </c>
      <c r="AC10" s="16" t="e">
        <f>SUM(I10/(1-#REF!)*1.2,1)</f>
        <v>#REF!</v>
      </c>
      <c r="AD10" s="16" t="e">
        <f>SUM(J10/(1-#REF!)*1.2,1)</f>
        <v>#REF!</v>
      </c>
      <c r="AE10" s="17" t="e">
        <f>SUM(K10/(1-#REF!)*1.2,1)</f>
        <v>#REF!</v>
      </c>
      <c r="AF10" s="88"/>
      <c r="AG10" s="12">
        <f t="shared" si="1"/>
        <v>24.3</v>
      </c>
      <c r="AH10" s="13">
        <f t="shared" si="2"/>
        <v>48</v>
      </c>
      <c r="AI10" s="13">
        <f t="shared" si="3"/>
        <v>91.8</v>
      </c>
      <c r="AJ10" s="114">
        <f t="shared" si="4"/>
        <v>108.9</v>
      </c>
      <c r="AK10" s="108"/>
      <c r="AL10" s="115">
        <f t="shared" si="5"/>
        <v>37.1</v>
      </c>
      <c r="AM10" s="16">
        <f t="shared" si="6"/>
        <v>67.7</v>
      </c>
      <c r="AN10" s="16">
        <f t="shared" si="7"/>
        <v>105.9</v>
      </c>
      <c r="AO10" s="17">
        <f t="shared" si="8"/>
        <v>125.2</v>
      </c>
      <c r="AP10" s="88"/>
      <c r="AR10" s="37"/>
      <c r="AS10" s="37"/>
      <c r="AT10" s="37"/>
      <c r="AU10" s="37"/>
      <c r="AV10" s="37"/>
      <c r="AW10" s="37"/>
      <c r="AX10" s="37"/>
      <c r="AY10" s="37"/>
      <c r="AZ10" s="37"/>
      <c r="BA10" s="56"/>
      <c r="BB10" s="56"/>
    </row>
    <row r="11" spans="1:54" ht="14.45" customHeight="1" x14ac:dyDescent="0.25">
      <c r="A11" s="222"/>
      <c r="B11" s="27" t="s">
        <v>27</v>
      </c>
      <c r="C11" s="112">
        <f>'Single Trip Standard re Jan25'!C9</f>
        <v>10.15</v>
      </c>
      <c r="D11" s="113">
        <f>'Single Trip Standard re Jan25'!C16</f>
        <v>23.63</v>
      </c>
      <c r="E11" s="113">
        <f>'Single Trip Standard re Jan25'!C24</f>
        <v>42.99</v>
      </c>
      <c r="F11" s="114">
        <f>'Single Trip Standard re Jan25'!C32</f>
        <v>50.07</v>
      </c>
      <c r="G11" s="108"/>
      <c r="H11" s="115">
        <f>'Single Trip Standard re Jan25'!D9</f>
        <v>15.48</v>
      </c>
      <c r="I11" s="116">
        <f>'Single Trip Standard re Jan25'!D16</f>
        <v>33.090000000000003</v>
      </c>
      <c r="J11" s="116">
        <f>'Single Trip Standard re Jan25'!D24</f>
        <v>48.75</v>
      </c>
      <c r="K11" s="117">
        <f>'Single Trip Standard re Jan25'!D32</f>
        <v>56.49</v>
      </c>
      <c r="L11" s="8"/>
      <c r="M11" s="12">
        <f>'Single Trip Standard re Jan25'!L9</f>
        <v>13.222000000000001</v>
      </c>
      <c r="N11" s="13">
        <f>'Single Trip Standard re Jan25'!L16</f>
        <v>30.778000000000002</v>
      </c>
      <c r="O11" s="13">
        <f>'Single Trip Standard re Jan25'!L24</f>
        <v>55.99</v>
      </c>
      <c r="P11" s="114">
        <f>'Single Trip Standard re Jan25'!L32</f>
        <v>65.208000000000013</v>
      </c>
      <c r="Q11" s="8"/>
      <c r="R11" s="15">
        <f>'Single Trip Standard re Jan25'!M9</f>
        <v>20.163</v>
      </c>
      <c r="S11" s="16">
        <f>'Single Trip Standard re Jan25'!M16</f>
        <v>43.098000000000006</v>
      </c>
      <c r="T11" s="16">
        <f>'Single Trip Standard re Jan25'!M24</f>
        <v>63.492000000000004</v>
      </c>
      <c r="U11" s="17">
        <f>'Single Trip Standard re Jan25'!M32</f>
        <v>73.567999999999998</v>
      </c>
      <c r="W11" s="12" t="e">
        <f>SUM(C11/(1-#REF!)*1.2,1)</f>
        <v>#REF!</v>
      </c>
      <c r="X11" s="13" t="e">
        <f>SUM(D11/(1-#REF!)*1.2,1)</f>
        <v>#REF!</v>
      </c>
      <c r="Y11" s="13" t="e">
        <f>SUM(E11/(1-#REF!)*1.2,1)</f>
        <v>#REF!</v>
      </c>
      <c r="Z11" s="14" t="e">
        <f>SUM(F11/(1-#REF!)*1.2,1)</f>
        <v>#REF!</v>
      </c>
      <c r="AA11" s="8"/>
      <c r="AB11" s="15" t="e">
        <f>SUM(H11/(1-#REF!)*1.2,1)</f>
        <v>#REF!</v>
      </c>
      <c r="AC11" s="16" t="e">
        <f>SUM(I11/(1-#REF!)*1.2,1)</f>
        <v>#REF!</v>
      </c>
      <c r="AD11" s="16" t="e">
        <f>SUM(J11/(1-#REF!)*1.2,1)</f>
        <v>#REF!</v>
      </c>
      <c r="AE11" s="17" t="e">
        <f>SUM(K11/(1-#REF!)*1.2,1)</f>
        <v>#REF!</v>
      </c>
      <c r="AF11" s="88"/>
      <c r="AG11" s="112">
        <f t="shared" si="1"/>
        <v>24.3</v>
      </c>
      <c r="AH11" s="13">
        <f t="shared" si="2"/>
        <v>56.7</v>
      </c>
      <c r="AI11" s="13">
        <f t="shared" si="3"/>
        <v>103.1</v>
      </c>
      <c r="AJ11" s="114">
        <f t="shared" si="4"/>
        <v>120.1</v>
      </c>
      <c r="AK11" s="108"/>
      <c r="AL11" s="115">
        <f t="shared" si="5"/>
        <v>37.1</v>
      </c>
      <c r="AM11" s="16">
        <f t="shared" si="6"/>
        <v>79.400000000000006</v>
      </c>
      <c r="AN11" s="16">
        <f t="shared" si="7"/>
        <v>117</v>
      </c>
      <c r="AO11" s="17">
        <f t="shared" si="8"/>
        <v>135.5</v>
      </c>
      <c r="AP11" s="88"/>
    </row>
    <row r="12" spans="1:54" ht="14.45" customHeight="1" thickBot="1" x14ac:dyDescent="0.3">
      <c r="A12" s="223"/>
      <c r="B12" s="27" t="s">
        <v>29</v>
      </c>
      <c r="C12" s="112" t="s">
        <v>118</v>
      </c>
      <c r="D12" s="113">
        <f>'Single Trip Standard re Jan25'!C17</f>
        <v>3.15</v>
      </c>
      <c r="E12" s="113">
        <f>'Single Trip Standard re Jan25'!C25</f>
        <v>6.08</v>
      </c>
      <c r="F12" s="114">
        <f>'Single Trip Standard re Jan25'!C33</f>
        <v>8.1999999999999993</v>
      </c>
      <c r="G12" s="108"/>
      <c r="H12" s="115" t="s">
        <v>118</v>
      </c>
      <c r="I12" s="116">
        <f>'Single Trip Standard re Jan25'!D17</f>
        <v>4.28</v>
      </c>
      <c r="J12" s="116">
        <f>'Single Trip Standard re Jan25'!D25</f>
        <v>6.65</v>
      </c>
      <c r="K12" s="117">
        <f>'Single Trip Standard re Jan25'!D33</f>
        <v>8.8800000000000008</v>
      </c>
      <c r="L12" s="8"/>
      <c r="M12" s="12" t="s">
        <v>118</v>
      </c>
      <c r="N12" s="13">
        <f>'Single Trip Standard re Jan25'!L17</f>
        <v>4.1030000000000006</v>
      </c>
      <c r="O12" s="13">
        <f>'Single Trip Standard re Jan25'!L25</f>
        <v>7.9200000000000008</v>
      </c>
      <c r="P12" s="114">
        <f>'Single Trip Standard re Jan25'!L33</f>
        <v>10.681000000000001</v>
      </c>
      <c r="Q12" s="8"/>
      <c r="R12" s="15" t="s">
        <v>118</v>
      </c>
      <c r="S12" s="16">
        <f>'Single Trip Standard re Jan25'!M17</f>
        <v>5.5770000000000008</v>
      </c>
      <c r="T12" s="16">
        <f>'Single Trip Standard re Jan25'!M25</f>
        <v>8.657</v>
      </c>
      <c r="U12" s="17">
        <f>'Single Trip Standard re Jan25'!M33</f>
        <v>11.561</v>
      </c>
      <c r="W12" s="12" t="s">
        <v>118</v>
      </c>
      <c r="X12" s="13" t="e">
        <f>SUM(D12/(1-#REF!)*1.2,1)</f>
        <v>#REF!</v>
      </c>
      <c r="Y12" s="13" t="e">
        <f>SUM(E12/(1-#REF!)*1.2,1)</f>
        <v>#REF!</v>
      </c>
      <c r="Z12" s="14" t="e">
        <f>SUM(F12/(1-#REF!)*1.2,1)</f>
        <v>#REF!</v>
      </c>
      <c r="AA12" s="8"/>
      <c r="AB12" s="15" t="s">
        <v>118</v>
      </c>
      <c r="AC12" s="16" t="e">
        <f>SUM(I12/(1-#REF!)*1.2,1)</f>
        <v>#REF!</v>
      </c>
      <c r="AD12" s="16" t="e">
        <f>SUM(J12/(1-#REF!)*1.2,1)</f>
        <v>#REF!</v>
      </c>
      <c r="AE12" s="17" t="e">
        <f>SUM(K12/(1-#REF!)*1.2,1)</f>
        <v>#REF!</v>
      </c>
      <c r="AF12" s="88"/>
      <c r="AG12" s="112" t="s">
        <v>118</v>
      </c>
      <c r="AH12" s="13">
        <f t="shared" ref="AH12" si="9">ROUNDDOWN(D12/(1-$AJ$2)*1.2,1)</f>
        <v>7.5</v>
      </c>
      <c r="AI12" s="13">
        <f t="shared" ref="AI12" si="10">ROUNDDOWN(E12/(1-$AJ$2)*1.2,1)</f>
        <v>14.5</v>
      </c>
      <c r="AJ12" s="114">
        <f t="shared" ref="AJ12" si="11">ROUNDDOWN(F12/(1-$AJ$2)*1.2,1)</f>
        <v>19.600000000000001</v>
      </c>
      <c r="AK12" s="108"/>
      <c r="AL12" s="115" t="s">
        <v>118</v>
      </c>
      <c r="AM12" s="16">
        <f t="shared" si="6"/>
        <v>10.199999999999999</v>
      </c>
      <c r="AN12" s="16">
        <f t="shared" si="7"/>
        <v>15.9</v>
      </c>
      <c r="AO12" s="17">
        <f t="shared" si="8"/>
        <v>21.3</v>
      </c>
      <c r="AP12" s="88"/>
    </row>
    <row r="13" spans="1:54" ht="5.0999999999999996" customHeight="1" thickBot="1" x14ac:dyDescent="0.3"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W13" s="8"/>
      <c r="X13" s="8"/>
      <c r="Y13" s="8"/>
      <c r="Z13" s="8"/>
      <c r="AA13" s="8"/>
      <c r="AB13" s="8"/>
      <c r="AC13" s="8"/>
      <c r="AD13" s="8"/>
      <c r="AE13" s="8"/>
      <c r="AF13" s="89"/>
      <c r="AG13" s="108"/>
      <c r="AH13" s="108"/>
      <c r="AI13" s="108"/>
      <c r="AJ13" s="108"/>
      <c r="AK13" s="108"/>
      <c r="AL13" s="108"/>
      <c r="AM13" s="108"/>
      <c r="AN13" s="108"/>
      <c r="AO13" s="108"/>
      <c r="AP13" s="89"/>
    </row>
    <row r="14" spans="1:54" ht="15.75" thickBot="1" x14ac:dyDescent="0.3">
      <c r="B14" s="28" t="s">
        <v>119</v>
      </c>
      <c r="C14" s="29">
        <v>1.0900000000000001</v>
      </c>
      <c r="D14" s="28"/>
      <c r="E14" s="28"/>
      <c r="F14" s="28"/>
      <c r="G14" s="28"/>
      <c r="H14" s="29">
        <v>1.0900000000000001</v>
      </c>
      <c r="I14" s="28"/>
      <c r="J14" s="28"/>
      <c r="K14" s="28"/>
      <c r="L14" s="28"/>
      <c r="M14" s="29">
        <v>1.0900000000000001</v>
      </c>
      <c r="N14" s="28"/>
      <c r="O14" s="28"/>
      <c r="P14" s="28"/>
      <c r="Q14" s="28"/>
      <c r="R14" s="29">
        <v>1.0900000000000001</v>
      </c>
      <c r="S14" s="8"/>
      <c r="T14" s="8"/>
      <c r="W14" s="31">
        <v>1.0798000000000001</v>
      </c>
      <c r="X14" s="28"/>
      <c r="Y14" s="28"/>
      <c r="Z14" s="28"/>
      <c r="AA14" s="28"/>
      <c r="AB14" s="31">
        <v>1.0798000000000001</v>
      </c>
      <c r="AC14" s="8"/>
      <c r="AD14" s="8"/>
      <c r="AG14" s="108"/>
      <c r="AH14" s="108"/>
      <c r="AI14" s="108"/>
      <c r="AJ14" s="108"/>
      <c r="AK14" s="108"/>
      <c r="AL14" s="108"/>
      <c r="AM14" s="108"/>
      <c r="AN14" s="108"/>
      <c r="AS14" s="32"/>
      <c r="AT14" s="56"/>
      <c r="AU14" s="56"/>
      <c r="AV14" s="56"/>
      <c r="AW14" s="56"/>
      <c r="AX14" s="56"/>
      <c r="AY14" s="56"/>
      <c r="AZ14" s="56"/>
    </row>
    <row r="15" spans="1:54" ht="14.45" customHeight="1" x14ac:dyDescent="0.25">
      <c r="A15" s="221" t="s">
        <v>120</v>
      </c>
      <c r="B15" s="26" t="s">
        <v>23</v>
      </c>
      <c r="C15" s="105">
        <f t="shared" ref="C15:C20" si="12">IFERROR(C7*C$14,"N/A")</f>
        <v>8.6328000000000014</v>
      </c>
      <c r="D15" s="106">
        <f t="shared" ref="D15:D20" si="13">IFERROR(D7*C$14,"N/A")</f>
        <v>10.9109</v>
      </c>
      <c r="E15" s="106">
        <f t="shared" ref="E15:E20" si="14">IFERROR(E7*C$14,"N/A")</f>
        <v>22.9772</v>
      </c>
      <c r="F15" s="107">
        <f t="shared" ref="F15:F20" si="15">IFERROR(F7*C$14,"N/A")</f>
        <v>26.443400000000004</v>
      </c>
      <c r="G15" s="108"/>
      <c r="H15" s="109">
        <f t="shared" ref="H15:H20" si="16">IFERROR(H7*H$14,"N/A")</f>
        <v>13.1999</v>
      </c>
      <c r="I15" s="110">
        <f t="shared" ref="I15:I20" si="17">IFERROR(I7*H$14,"N/A")</f>
        <v>17.9741</v>
      </c>
      <c r="J15" s="110">
        <f t="shared" ref="J15:J20" si="18">IFERROR(J7*H$14,"N/A")</f>
        <v>28.492600000000003</v>
      </c>
      <c r="K15" s="111">
        <f t="shared" ref="K15:K20" si="19">IFERROR(K7*H$14,"N/A")</f>
        <v>31.501000000000001</v>
      </c>
      <c r="L15" s="8"/>
      <c r="M15" s="5">
        <f t="shared" ref="M15:M20" si="20">IFERROR(M7*M$14,"N/A")</f>
        <v>11.246620000000002</v>
      </c>
      <c r="N15" s="6">
        <f t="shared" ref="N15:N20" si="21">IFERROR(N7*M$14,"N/A")</f>
        <v>14.208150000000002</v>
      </c>
      <c r="O15" s="6">
        <f t="shared" ref="O15:O20" si="22">IFERROR(O7*M$14,"N/A")</f>
        <v>29.927040000000005</v>
      </c>
      <c r="P15" s="7">
        <f t="shared" ref="P15:P20" si="23">IFERROR(P7*M$14,"N/A")</f>
        <v>34.435280000000006</v>
      </c>
      <c r="Q15" s="8"/>
      <c r="R15" s="9">
        <f t="shared" ref="R15:R20" si="24">IFERROR(R7*R$14,"N/A")</f>
        <v>17.193660000000001</v>
      </c>
      <c r="S15" s="10">
        <f t="shared" ref="S15:S20" si="25">IFERROR(S7*R$14,"N/A")</f>
        <v>23.404480000000003</v>
      </c>
      <c r="T15" s="10">
        <f t="shared" ref="T15:T20" si="26">IFERROR(T7*R$14,"N/A")</f>
        <v>37.109050000000003</v>
      </c>
      <c r="U15" s="11">
        <f t="shared" ref="U15:U20" si="27">IFERROR(U7*R$14,"N/A")</f>
        <v>41.029780000000009</v>
      </c>
      <c r="W15" s="5" t="str">
        <f t="shared" ref="W15:W20" si="28">IFERROR(W7*W$14,"N/A")</f>
        <v>N/A</v>
      </c>
      <c r="X15" s="6" t="str">
        <f t="shared" ref="X15:X20" si="29">IFERROR(X7*W$14,"N/A")</f>
        <v>N/A</v>
      </c>
      <c r="Y15" s="6" t="str">
        <f t="shared" ref="Y15:Y20" si="30">IFERROR(Y7*W$14,"N/A")</f>
        <v>N/A</v>
      </c>
      <c r="Z15" s="7" t="str">
        <f t="shared" ref="Z15:Z20" si="31">IFERROR(Z7*W$14,"N/A")</f>
        <v>N/A</v>
      </c>
      <c r="AA15" s="8"/>
      <c r="AB15" s="9" t="str">
        <f t="shared" ref="AB15:AB20" si="32">IFERROR(AB7*AB$14,"N/A")</f>
        <v>N/A</v>
      </c>
      <c r="AC15" s="10" t="str">
        <f t="shared" ref="AC15:AC20" si="33">IFERROR(AC7*AB$14,"N/A")</f>
        <v>N/A</v>
      </c>
      <c r="AD15" s="10" t="str">
        <f t="shared" ref="AD15:AD20" si="34">IFERROR(AD7*AB$14,"N/A")</f>
        <v>N/A</v>
      </c>
      <c r="AE15" s="11" t="str">
        <f t="shared" ref="AE15:AE20" si="35">IFERROR(AE7*AB$14,"N/A")</f>
        <v>N/A</v>
      </c>
      <c r="AF15" s="88"/>
      <c r="AG15" s="5">
        <f t="shared" ref="AG15:AJ19" si="36">ROUNDDOWN(AG7*$C$14,1)</f>
        <v>20.7</v>
      </c>
      <c r="AH15" s="6">
        <f t="shared" si="36"/>
        <v>26.1</v>
      </c>
      <c r="AI15" s="6">
        <f t="shared" si="36"/>
        <v>55</v>
      </c>
      <c r="AJ15" s="107">
        <f t="shared" si="36"/>
        <v>63.4</v>
      </c>
      <c r="AK15" s="108"/>
      <c r="AL15" s="109">
        <f t="shared" ref="AL15:AO19" si="37">ROUNDDOWN(AL7*$C$14,1)</f>
        <v>31.6</v>
      </c>
      <c r="AM15" s="10">
        <f t="shared" si="37"/>
        <v>43</v>
      </c>
      <c r="AN15" s="10">
        <f t="shared" si="37"/>
        <v>68.3</v>
      </c>
      <c r="AO15" s="11">
        <f t="shared" si="37"/>
        <v>75.5</v>
      </c>
      <c r="AP15" s="88"/>
      <c r="AS15" s="32"/>
      <c r="AT15" s="56"/>
      <c r="AU15" s="56"/>
      <c r="AV15" s="56"/>
      <c r="AW15" s="56"/>
      <c r="AX15" s="56"/>
      <c r="AY15" s="56"/>
      <c r="AZ15" s="56"/>
    </row>
    <row r="16" spans="1:54" ht="14.45" customHeight="1" x14ac:dyDescent="0.25">
      <c r="A16" s="222"/>
      <c r="B16" s="27" t="s">
        <v>24</v>
      </c>
      <c r="C16" s="112">
        <f t="shared" si="12"/>
        <v>9.0688000000000013</v>
      </c>
      <c r="D16" s="113">
        <f t="shared" si="13"/>
        <v>14.039200000000001</v>
      </c>
      <c r="E16" s="113">
        <f t="shared" si="14"/>
        <v>27.664200000000001</v>
      </c>
      <c r="F16" s="114">
        <f t="shared" si="15"/>
        <v>31.991500000000006</v>
      </c>
      <c r="G16" s="108"/>
      <c r="H16" s="115">
        <f t="shared" si="16"/>
        <v>13.864800000000002</v>
      </c>
      <c r="I16" s="116">
        <f t="shared" si="17"/>
        <v>21.505700000000001</v>
      </c>
      <c r="J16" s="116">
        <f t="shared" si="18"/>
        <v>31.740800000000004</v>
      </c>
      <c r="K16" s="117">
        <f t="shared" si="19"/>
        <v>37.888399999999997</v>
      </c>
      <c r="L16" s="8"/>
      <c r="M16" s="12">
        <f t="shared" si="20"/>
        <v>11.810150000000002</v>
      </c>
      <c r="N16" s="13">
        <f t="shared" si="21"/>
        <v>18.284750000000003</v>
      </c>
      <c r="O16" s="13">
        <f t="shared" si="22"/>
        <v>36.029950000000007</v>
      </c>
      <c r="P16" s="14">
        <f t="shared" si="23"/>
        <v>41.665250000000007</v>
      </c>
      <c r="Q16" s="8"/>
      <c r="R16" s="15">
        <f t="shared" si="24"/>
        <v>18.056940000000004</v>
      </c>
      <c r="S16" s="16">
        <f t="shared" si="25"/>
        <v>28.008640000000003</v>
      </c>
      <c r="T16" s="16">
        <f t="shared" si="26"/>
        <v>41.341520000000003</v>
      </c>
      <c r="U16" s="17">
        <f t="shared" si="27"/>
        <v>49.350840000000005</v>
      </c>
      <c r="W16" s="12" t="str">
        <f t="shared" si="28"/>
        <v>N/A</v>
      </c>
      <c r="X16" s="13" t="str">
        <f t="shared" si="29"/>
        <v>N/A</v>
      </c>
      <c r="Y16" s="13" t="str">
        <f t="shared" si="30"/>
        <v>N/A</v>
      </c>
      <c r="Z16" s="14" t="str">
        <f t="shared" si="31"/>
        <v>N/A</v>
      </c>
      <c r="AA16" s="8"/>
      <c r="AB16" s="15" t="str">
        <f t="shared" si="32"/>
        <v>N/A</v>
      </c>
      <c r="AC16" s="16" t="str">
        <f t="shared" si="33"/>
        <v>N/A</v>
      </c>
      <c r="AD16" s="16" t="str">
        <f t="shared" si="34"/>
        <v>N/A</v>
      </c>
      <c r="AE16" s="17" t="str">
        <f t="shared" si="35"/>
        <v>N/A</v>
      </c>
      <c r="AF16" s="88"/>
      <c r="AG16" s="12">
        <f t="shared" si="36"/>
        <v>21.6</v>
      </c>
      <c r="AH16" s="13">
        <f t="shared" si="36"/>
        <v>33.6</v>
      </c>
      <c r="AI16" s="13">
        <f t="shared" si="36"/>
        <v>66.3</v>
      </c>
      <c r="AJ16" s="114">
        <f t="shared" si="36"/>
        <v>76.7</v>
      </c>
      <c r="AK16" s="108"/>
      <c r="AL16" s="115">
        <f t="shared" si="37"/>
        <v>33.200000000000003</v>
      </c>
      <c r="AM16" s="16">
        <f t="shared" si="37"/>
        <v>51.5</v>
      </c>
      <c r="AN16" s="16">
        <f t="shared" si="37"/>
        <v>76</v>
      </c>
      <c r="AO16" s="17">
        <f t="shared" si="37"/>
        <v>90.9</v>
      </c>
      <c r="AP16" s="88"/>
      <c r="AQ16" s="37"/>
      <c r="AR16" s="37"/>
      <c r="AS16" s="32"/>
      <c r="AT16" s="56"/>
      <c r="AU16" s="56"/>
      <c r="AV16" s="56"/>
      <c r="AW16" s="56"/>
      <c r="AX16" s="56"/>
      <c r="AY16" s="56"/>
      <c r="AZ16" s="56"/>
    </row>
    <row r="17" spans="1:52" ht="14.45" customHeight="1" x14ac:dyDescent="0.25">
      <c r="A17" s="222"/>
      <c r="B17" s="27" t="s">
        <v>25</v>
      </c>
      <c r="C17" s="112">
        <f t="shared" si="12"/>
        <v>10.0062</v>
      </c>
      <c r="D17" s="113">
        <f t="shared" si="13"/>
        <v>16.5244</v>
      </c>
      <c r="E17" s="113">
        <f t="shared" si="14"/>
        <v>33.757300000000001</v>
      </c>
      <c r="F17" s="114">
        <f t="shared" si="15"/>
        <v>39.479800000000004</v>
      </c>
      <c r="G17" s="108"/>
      <c r="H17" s="115">
        <f t="shared" si="16"/>
        <v>15.314500000000002</v>
      </c>
      <c r="I17" s="116">
        <f t="shared" si="17"/>
        <v>24.121700000000001</v>
      </c>
      <c r="J17" s="116">
        <f t="shared" si="18"/>
        <v>39.021999999999998</v>
      </c>
      <c r="K17" s="117">
        <f t="shared" si="19"/>
        <v>43.883400000000002</v>
      </c>
      <c r="L17" s="8"/>
      <c r="M17" s="12">
        <f t="shared" si="20"/>
        <v>13.033130000000002</v>
      </c>
      <c r="N17" s="13">
        <f t="shared" si="21"/>
        <v>21.522050000000004</v>
      </c>
      <c r="O17" s="13">
        <f t="shared" si="22"/>
        <v>43.967330000000004</v>
      </c>
      <c r="P17" s="14">
        <f t="shared" si="23"/>
        <v>51.413120000000013</v>
      </c>
      <c r="Q17" s="8"/>
      <c r="R17" s="15">
        <f t="shared" si="24"/>
        <v>19.951360000000005</v>
      </c>
      <c r="S17" s="16">
        <f t="shared" si="25"/>
        <v>31.413800000000002</v>
      </c>
      <c r="T17" s="16">
        <f t="shared" si="26"/>
        <v>50.825610000000012</v>
      </c>
      <c r="U17" s="17">
        <f t="shared" si="27"/>
        <v>57.156330000000011</v>
      </c>
      <c r="W17" s="12" t="str">
        <f t="shared" si="28"/>
        <v>N/A</v>
      </c>
      <c r="X17" s="13" t="str">
        <f t="shared" si="29"/>
        <v>N/A</v>
      </c>
      <c r="Y17" s="13" t="str">
        <f t="shared" si="30"/>
        <v>N/A</v>
      </c>
      <c r="Z17" s="14" t="str">
        <f t="shared" si="31"/>
        <v>N/A</v>
      </c>
      <c r="AA17" s="8"/>
      <c r="AB17" s="15" t="str">
        <f t="shared" si="32"/>
        <v>N/A</v>
      </c>
      <c r="AC17" s="16" t="str">
        <f t="shared" si="33"/>
        <v>N/A</v>
      </c>
      <c r="AD17" s="16" t="str">
        <f t="shared" si="34"/>
        <v>N/A</v>
      </c>
      <c r="AE17" s="17" t="str">
        <f t="shared" si="35"/>
        <v>N/A</v>
      </c>
      <c r="AF17" s="88"/>
      <c r="AG17" s="12">
        <f t="shared" si="36"/>
        <v>23.9</v>
      </c>
      <c r="AH17" s="13">
        <f t="shared" si="36"/>
        <v>39.5</v>
      </c>
      <c r="AI17" s="13">
        <f t="shared" si="36"/>
        <v>80.900000000000006</v>
      </c>
      <c r="AJ17" s="114">
        <f t="shared" si="36"/>
        <v>94.7</v>
      </c>
      <c r="AK17" s="108"/>
      <c r="AL17" s="115">
        <f t="shared" si="37"/>
        <v>36.700000000000003</v>
      </c>
      <c r="AM17" s="16">
        <f t="shared" si="37"/>
        <v>57.8</v>
      </c>
      <c r="AN17" s="16">
        <f t="shared" si="37"/>
        <v>93.6</v>
      </c>
      <c r="AO17" s="17">
        <f t="shared" si="37"/>
        <v>105.2</v>
      </c>
      <c r="AP17" s="88"/>
      <c r="AS17" s="32"/>
      <c r="AT17" s="56"/>
      <c r="AU17" s="56"/>
      <c r="AV17" s="56"/>
      <c r="AW17" s="56"/>
      <c r="AX17" s="56"/>
      <c r="AY17" s="56"/>
      <c r="AZ17" s="56"/>
    </row>
    <row r="18" spans="1:52" ht="14.45" customHeight="1" x14ac:dyDescent="0.25">
      <c r="A18" s="222"/>
      <c r="B18" s="27" t="s">
        <v>26</v>
      </c>
      <c r="C18" s="112">
        <f t="shared" si="12"/>
        <v>11.041700000000002</v>
      </c>
      <c r="D18" s="113">
        <f t="shared" si="13"/>
        <v>21.832700000000003</v>
      </c>
      <c r="E18" s="113">
        <f t="shared" si="14"/>
        <v>41.703400000000002</v>
      </c>
      <c r="F18" s="114">
        <f t="shared" si="15"/>
        <v>49.486000000000004</v>
      </c>
      <c r="G18" s="108"/>
      <c r="H18" s="115">
        <f t="shared" si="16"/>
        <v>16.862300000000001</v>
      </c>
      <c r="I18" s="116">
        <f t="shared" si="17"/>
        <v>30.781600000000001</v>
      </c>
      <c r="J18" s="116">
        <f t="shared" si="18"/>
        <v>48.134399999999999</v>
      </c>
      <c r="K18" s="117">
        <f t="shared" si="19"/>
        <v>56.887100000000004</v>
      </c>
      <c r="L18" s="8"/>
      <c r="M18" s="12">
        <f t="shared" si="20"/>
        <v>14.376010000000003</v>
      </c>
      <c r="N18" s="13">
        <f t="shared" si="21"/>
        <v>28.440280000000005</v>
      </c>
      <c r="O18" s="13">
        <f t="shared" si="22"/>
        <v>54.314700000000002</v>
      </c>
      <c r="P18" s="14">
        <f t="shared" si="23"/>
        <v>64.446250000000006</v>
      </c>
      <c r="Q18" s="8"/>
      <c r="R18" s="15">
        <f t="shared" si="24"/>
        <v>21.965680000000003</v>
      </c>
      <c r="S18" s="16">
        <f t="shared" si="25"/>
        <v>40.094560000000001</v>
      </c>
      <c r="T18" s="16">
        <f t="shared" si="26"/>
        <v>62.695710000000012</v>
      </c>
      <c r="U18" s="17">
        <f t="shared" si="27"/>
        <v>74.086210000000008</v>
      </c>
      <c r="W18" s="12" t="str">
        <f t="shared" si="28"/>
        <v>N/A</v>
      </c>
      <c r="X18" s="13" t="str">
        <f t="shared" si="29"/>
        <v>N/A</v>
      </c>
      <c r="Y18" s="13" t="str">
        <f t="shared" si="30"/>
        <v>N/A</v>
      </c>
      <c r="Z18" s="14" t="str">
        <f t="shared" si="31"/>
        <v>N/A</v>
      </c>
      <c r="AA18" s="8"/>
      <c r="AB18" s="15" t="str">
        <f t="shared" si="32"/>
        <v>N/A</v>
      </c>
      <c r="AC18" s="16" t="str">
        <f t="shared" si="33"/>
        <v>N/A</v>
      </c>
      <c r="AD18" s="16" t="str">
        <f t="shared" si="34"/>
        <v>N/A</v>
      </c>
      <c r="AE18" s="17" t="str">
        <f t="shared" si="35"/>
        <v>N/A</v>
      </c>
      <c r="AF18" s="88"/>
      <c r="AG18" s="12">
        <f t="shared" si="36"/>
        <v>26.4</v>
      </c>
      <c r="AH18" s="13">
        <f t="shared" si="36"/>
        <v>52.3</v>
      </c>
      <c r="AI18" s="13">
        <f t="shared" si="36"/>
        <v>100</v>
      </c>
      <c r="AJ18" s="114">
        <f t="shared" si="36"/>
        <v>118.7</v>
      </c>
      <c r="AK18" s="108"/>
      <c r="AL18" s="115">
        <f t="shared" si="37"/>
        <v>40.4</v>
      </c>
      <c r="AM18" s="16">
        <f t="shared" si="37"/>
        <v>73.7</v>
      </c>
      <c r="AN18" s="16">
        <f t="shared" si="37"/>
        <v>115.4</v>
      </c>
      <c r="AO18" s="17">
        <f t="shared" si="37"/>
        <v>136.4</v>
      </c>
      <c r="AP18" s="88"/>
      <c r="AS18" s="32"/>
    </row>
    <row r="19" spans="1:52" ht="14.45" customHeight="1" x14ac:dyDescent="0.25">
      <c r="A19" s="222"/>
      <c r="B19" s="27" t="s">
        <v>27</v>
      </c>
      <c r="C19" s="112">
        <f t="shared" si="12"/>
        <v>11.063500000000001</v>
      </c>
      <c r="D19" s="113">
        <f t="shared" si="13"/>
        <v>25.756700000000002</v>
      </c>
      <c r="E19" s="113">
        <f t="shared" si="14"/>
        <v>46.859100000000005</v>
      </c>
      <c r="F19" s="114">
        <f t="shared" si="15"/>
        <v>54.576300000000003</v>
      </c>
      <c r="G19" s="108"/>
      <c r="H19" s="115">
        <f t="shared" si="16"/>
        <v>16.873200000000001</v>
      </c>
      <c r="I19" s="116">
        <f t="shared" si="17"/>
        <v>36.068100000000008</v>
      </c>
      <c r="J19" s="116">
        <f t="shared" si="18"/>
        <v>53.137500000000003</v>
      </c>
      <c r="K19" s="117">
        <f t="shared" si="19"/>
        <v>61.574100000000008</v>
      </c>
      <c r="L19" s="8"/>
      <c r="M19" s="12">
        <f t="shared" si="20"/>
        <v>14.411980000000003</v>
      </c>
      <c r="N19" s="13">
        <f t="shared" si="21"/>
        <v>33.548020000000008</v>
      </c>
      <c r="O19" s="13">
        <f t="shared" si="22"/>
        <v>61.029100000000007</v>
      </c>
      <c r="P19" s="14">
        <f t="shared" si="23"/>
        <v>71.076720000000023</v>
      </c>
      <c r="Q19" s="8"/>
      <c r="R19" s="15">
        <f t="shared" si="24"/>
        <v>21.977670000000003</v>
      </c>
      <c r="S19" s="16">
        <f t="shared" si="25"/>
        <v>46.976820000000011</v>
      </c>
      <c r="T19" s="16">
        <f t="shared" si="26"/>
        <v>69.206280000000007</v>
      </c>
      <c r="U19" s="17">
        <f t="shared" si="27"/>
        <v>80.189120000000003</v>
      </c>
      <c r="W19" s="12" t="str">
        <f t="shared" si="28"/>
        <v>N/A</v>
      </c>
      <c r="X19" s="13" t="str">
        <f t="shared" si="29"/>
        <v>N/A</v>
      </c>
      <c r="Y19" s="13" t="str">
        <f t="shared" si="30"/>
        <v>N/A</v>
      </c>
      <c r="Z19" s="14" t="str">
        <f t="shared" si="31"/>
        <v>N/A</v>
      </c>
      <c r="AA19" s="8"/>
      <c r="AB19" s="15" t="str">
        <f t="shared" si="32"/>
        <v>N/A</v>
      </c>
      <c r="AC19" s="16" t="str">
        <f t="shared" si="33"/>
        <v>N/A</v>
      </c>
      <c r="AD19" s="16" t="str">
        <f t="shared" si="34"/>
        <v>N/A</v>
      </c>
      <c r="AE19" s="17" t="str">
        <f t="shared" si="35"/>
        <v>N/A</v>
      </c>
      <c r="AF19" s="88"/>
      <c r="AG19" s="112">
        <f t="shared" si="36"/>
        <v>26.4</v>
      </c>
      <c r="AH19" s="13">
        <f t="shared" si="36"/>
        <v>61.8</v>
      </c>
      <c r="AI19" s="13">
        <f t="shared" si="36"/>
        <v>112.3</v>
      </c>
      <c r="AJ19" s="114">
        <f t="shared" si="36"/>
        <v>130.9</v>
      </c>
      <c r="AK19" s="108"/>
      <c r="AL19" s="115">
        <f t="shared" si="37"/>
        <v>40.4</v>
      </c>
      <c r="AM19" s="16">
        <f t="shared" si="37"/>
        <v>86.5</v>
      </c>
      <c r="AN19" s="16">
        <f t="shared" si="37"/>
        <v>127.5</v>
      </c>
      <c r="AO19" s="17">
        <f t="shared" si="37"/>
        <v>147.6</v>
      </c>
      <c r="AP19" s="88"/>
      <c r="AS19" s="32"/>
      <c r="AT19" s="59"/>
      <c r="AU19" s="59"/>
      <c r="AV19" s="59"/>
      <c r="AW19" s="59"/>
      <c r="AX19" s="59"/>
      <c r="AY19" s="59"/>
      <c r="AZ19" s="59"/>
    </row>
    <row r="20" spans="1:52" ht="14.45" customHeight="1" thickBot="1" x14ac:dyDescent="0.3">
      <c r="A20" s="223"/>
      <c r="B20" s="27" t="s">
        <v>29</v>
      </c>
      <c r="C20" s="112" t="str">
        <f t="shared" si="12"/>
        <v>N/A</v>
      </c>
      <c r="D20" s="113">
        <f t="shared" si="13"/>
        <v>3.4335</v>
      </c>
      <c r="E20" s="113">
        <f t="shared" si="14"/>
        <v>6.6272000000000002</v>
      </c>
      <c r="F20" s="114">
        <f t="shared" si="15"/>
        <v>8.9380000000000006</v>
      </c>
      <c r="G20" s="108"/>
      <c r="H20" s="115" t="str">
        <f t="shared" si="16"/>
        <v>N/A</v>
      </c>
      <c r="I20" s="116">
        <f t="shared" si="17"/>
        <v>4.6652000000000005</v>
      </c>
      <c r="J20" s="116">
        <f t="shared" si="18"/>
        <v>7.2485000000000008</v>
      </c>
      <c r="K20" s="117">
        <f t="shared" si="19"/>
        <v>9.6792000000000016</v>
      </c>
      <c r="L20" s="8"/>
      <c r="M20" s="12" t="str">
        <f t="shared" si="20"/>
        <v>N/A</v>
      </c>
      <c r="N20" s="13">
        <f t="shared" si="21"/>
        <v>4.4722700000000009</v>
      </c>
      <c r="O20" s="13">
        <f t="shared" si="22"/>
        <v>8.6328000000000014</v>
      </c>
      <c r="P20" s="14">
        <f t="shared" si="23"/>
        <v>11.642290000000003</v>
      </c>
      <c r="Q20" s="8"/>
      <c r="R20" s="15" t="str">
        <f t="shared" si="24"/>
        <v>N/A</v>
      </c>
      <c r="S20" s="16">
        <f t="shared" si="25"/>
        <v>6.0789300000000015</v>
      </c>
      <c r="T20" s="16">
        <f t="shared" si="26"/>
        <v>9.4361300000000004</v>
      </c>
      <c r="U20" s="17">
        <f t="shared" si="27"/>
        <v>12.60149</v>
      </c>
      <c r="W20" s="12" t="str">
        <f t="shared" si="28"/>
        <v>N/A</v>
      </c>
      <c r="X20" s="13" t="str">
        <f t="shared" si="29"/>
        <v>N/A</v>
      </c>
      <c r="Y20" s="13" t="str">
        <f t="shared" si="30"/>
        <v>N/A</v>
      </c>
      <c r="Z20" s="14" t="str">
        <f t="shared" si="31"/>
        <v>N/A</v>
      </c>
      <c r="AA20" s="8"/>
      <c r="AB20" s="15" t="str">
        <f t="shared" si="32"/>
        <v>N/A</v>
      </c>
      <c r="AC20" s="16" t="str">
        <f t="shared" si="33"/>
        <v>N/A</v>
      </c>
      <c r="AD20" s="16" t="str">
        <f t="shared" si="34"/>
        <v>N/A</v>
      </c>
      <c r="AE20" s="17" t="str">
        <f t="shared" si="35"/>
        <v>N/A</v>
      </c>
      <c r="AF20" s="88"/>
      <c r="AG20" s="112" t="s">
        <v>118</v>
      </c>
      <c r="AH20" s="13">
        <f>ROUNDDOWN(AH12*$C$14,1)</f>
        <v>8.1</v>
      </c>
      <c r="AI20" s="13">
        <f>ROUNDDOWN(AI12*$C$14,1)</f>
        <v>15.8</v>
      </c>
      <c r="AJ20" s="114">
        <f>ROUNDDOWN(AJ12*$C$14,1)</f>
        <v>21.3</v>
      </c>
      <c r="AK20" s="108"/>
      <c r="AL20" s="115" t="s">
        <v>118</v>
      </c>
      <c r="AM20" s="16">
        <f>ROUNDDOWN(AM12*$C$14,1)</f>
        <v>11.1</v>
      </c>
      <c r="AN20" s="16">
        <f>ROUNDDOWN(AN12*$C$14,1)</f>
        <v>17.3</v>
      </c>
      <c r="AO20" s="17">
        <f>ROUNDDOWN(AO12*$C$14,1)</f>
        <v>23.2</v>
      </c>
      <c r="AP20" s="88"/>
      <c r="AS20" s="32"/>
      <c r="AT20" s="59"/>
      <c r="AU20" s="59"/>
      <c r="AV20" s="59"/>
      <c r="AW20" s="59"/>
      <c r="AX20" s="59"/>
      <c r="AY20" s="59"/>
      <c r="AZ20" s="59"/>
    </row>
    <row r="21" spans="1:52" ht="5.0999999999999996" customHeight="1" thickBot="1" x14ac:dyDescent="0.3"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W21" s="8"/>
      <c r="X21" s="8"/>
      <c r="Y21" s="8"/>
      <c r="Z21" s="8"/>
      <c r="AA21" s="8"/>
      <c r="AB21" s="8"/>
      <c r="AC21" s="8"/>
      <c r="AD21" s="8"/>
      <c r="AE21" s="8"/>
      <c r="AF21" s="89"/>
      <c r="AG21" s="108"/>
      <c r="AH21" s="108"/>
      <c r="AI21" s="108"/>
      <c r="AJ21" s="108"/>
      <c r="AK21" s="108"/>
      <c r="AL21" s="108"/>
      <c r="AM21" s="108"/>
      <c r="AN21" s="108"/>
      <c r="AO21" s="108"/>
      <c r="AP21" s="89"/>
    </row>
    <row r="22" spans="1:52" ht="15.75" thickBot="1" x14ac:dyDescent="0.3">
      <c r="B22" s="28" t="s">
        <v>119</v>
      </c>
      <c r="C22" s="31">
        <v>2.38</v>
      </c>
      <c r="D22" s="28"/>
      <c r="E22" s="28"/>
      <c r="F22" s="28"/>
      <c r="G22" s="28"/>
      <c r="H22" s="31">
        <v>2.38</v>
      </c>
      <c r="I22" s="28"/>
      <c r="J22" s="28"/>
      <c r="K22" s="28"/>
      <c r="L22" s="28"/>
      <c r="M22" s="31">
        <v>2.38</v>
      </c>
      <c r="N22" s="28"/>
      <c r="O22" s="28"/>
      <c r="P22" s="28"/>
      <c r="Q22" s="28"/>
      <c r="R22" s="31">
        <v>2.38</v>
      </c>
      <c r="T22" s="8"/>
      <c r="U22" s="8"/>
      <c r="W22" s="31">
        <v>2.1800000000000002</v>
      </c>
      <c r="X22" s="28"/>
      <c r="Y22" s="28"/>
      <c r="Z22" s="28"/>
      <c r="AA22" s="28"/>
      <c r="AB22" s="31">
        <v>2.1800000000000002</v>
      </c>
      <c r="AD22" s="8"/>
      <c r="AE22" s="8"/>
      <c r="AF22" s="89"/>
      <c r="AG22" s="108"/>
      <c r="AH22" s="108"/>
      <c r="AI22" s="108"/>
      <c r="AJ22" s="108"/>
      <c r="AN22" s="108"/>
      <c r="AO22" s="108"/>
      <c r="AP22" s="89"/>
    </row>
    <row r="23" spans="1:52" ht="14.45" customHeight="1" x14ac:dyDescent="0.25">
      <c r="A23" s="221" t="s">
        <v>121</v>
      </c>
      <c r="B23" s="26" t="s">
        <v>23</v>
      </c>
      <c r="C23" s="105">
        <f t="shared" ref="C23:C28" si="38">IFERROR(C7*C$22,"N/A")</f>
        <v>18.849599999999999</v>
      </c>
      <c r="D23" s="106">
        <f t="shared" ref="D23:D28" si="39">IFERROR(D7*C$22,"N/A")</f>
        <v>23.823799999999999</v>
      </c>
      <c r="E23" s="106">
        <f t="shared" ref="E23:E28" si="40">IFERROR(E7*C$22,"N/A")</f>
        <v>50.170399999999994</v>
      </c>
      <c r="F23" s="107">
        <f t="shared" ref="F23:F28" si="41">IFERROR(F7*C$22,"N/A")</f>
        <v>57.738799999999998</v>
      </c>
      <c r="G23" s="108"/>
      <c r="H23" s="109">
        <f t="shared" ref="H23:H28" si="42">IFERROR(H7*H$22,"N/A")</f>
        <v>28.821799999999996</v>
      </c>
      <c r="I23" s="110">
        <f t="shared" ref="I23:I28" si="43">IFERROR(I7*H$22,"N/A")</f>
        <v>39.246199999999995</v>
      </c>
      <c r="J23" s="110">
        <f t="shared" ref="J23:J28" si="44">IFERROR(J7*H$22,"N/A")</f>
        <v>62.213200000000001</v>
      </c>
      <c r="K23" s="111">
        <f t="shared" ref="K23:K28" si="45">IFERROR(K7*H$22,"N/A")</f>
        <v>68.781999999999996</v>
      </c>
      <c r="L23" s="8"/>
      <c r="M23" s="5">
        <f t="shared" ref="M23:M28" si="46">IFERROR(M7*M$22,"N/A")</f>
        <v>24.556840000000001</v>
      </c>
      <c r="N23" s="6">
        <f t="shared" ref="N23:N28" si="47">IFERROR(N7*M$22,"N/A")</f>
        <v>31.023299999999999</v>
      </c>
      <c r="O23" s="6">
        <f t="shared" ref="O23:O28" si="48">IFERROR(O7*M$22,"N/A")</f>
        <v>65.345280000000002</v>
      </c>
      <c r="P23" s="7">
        <f t="shared" ref="P23:P28" si="49">IFERROR(P7*M$22,"N/A")</f>
        <v>75.188960000000009</v>
      </c>
      <c r="Q23" s="8"/>
      <c r="R23" s="9">
        <f t="shared" ref="R23:R28" si="50">IFERROR(R7*R$22,"N/A")</f>
        <v>37.542119999999997</v>
      </c>
      <c r="S23" s="10">
        <f t="shared" ref="S23:S28" si="51">IFERROR(S7*R$22,"N/A")</f>
        <v>51.103360000000002</v>
      </c>
      <c r="T23" s="10">
        <f t="shared" ref="T23:T28" si="52">IFERROR(T7*R$22,"N/A")</f>
        <v>81.027100000000004</v>
      </c>
      <c r="U23" s="11">
        <f t="shared" ref="U23:U28" si="53">IFERROR(U7*R$22,"N/A")</f>
        <v>89.58796000000001</v>
      </c>
      <c r="W23" s="5" t="str">
        <f t="shared" ref="W23:W28" si="54">IFERROR(W7*W$22,"N/A")</f>
        <v>N/A</v>
      </c>
      <c r="X23" s="6" t="str">
        <f t="shared" ref="X23:X28" si="55">IFERROR(X7*W$22,"N/A")</f>
        <v>N/A</v>
      </c>
      <c r="Y23" s="6" t="str">
        <f t="shared" ref="Y23:Y28" si="56">IFERROR(Y7*W$22,"N/A")</f>
        <v>N/A</v>
      </c>
      <c r="Z23" s="7" t="str">
        <f t="shared" ref="Z23:Z28" si="57">IFERROR(Z7*W$22,"N/A")</f>
        <v>N/A</v>
      </c>
      <c r="AA23" s="8"/>
      <c r="AB23" s="9" t="str">
        <f t="shared" ref="AB23:AB28" si="58">IFERROR(AB7*AB$22,"N/A")</f>
        <v>N/A</v>
      </c>
      <c r="AC23" s="10" t="str">
        <f t="shared" ref="AC23:AC28" si="59">IFERROR(AC7*AB$22,"N/A")</f>
        <v>N/A</v>
      </c>
      <c r="AD23" s="10" t="str">
        <f t="shared" ref="AD23:AD28" si="60">IFERROR(AD7*AB$22,"N/A")</f>
        <v>N/A</v>
      </c>
      <c r="AE23" s="11" t="str">
        <f t="shared" ref="AE23:AE28" si="61">IFERROR(AE7*AB$22,"N/A")</f>
        <v>N/A</v>
      </c>
      <c r="AF23" s="88"/>
      <c r="AG23" s="5">
        <f t="shared" ref="AG23:AJ27" si="62">ROUNDDOWN(AG7*$C$22,1)</f>
        <v>45.2</v>
      </c>
      <c r="AH23" s="6">
        <f t="shared" si="62"/>
        <v>57.1</v>
      </c>
      <c r="AI23" s="6">
        <f t="shared" si="62"/>
        <v>120.1</v>
      </c>
      <c r="AJ23" s="107">
        <f t="shared" si="62"/>
        <v>138.5</v>
      </c>
      <c r="AK23" s="108"/>
      <c r="AL23" s="109">
        <f t="shared" ref="AL23:AO27" si="63">ROUNDDOWN(AL7*$C$22,1)</f>
        <v>69</v>
      </c>
      <c r="AM23" s="10">
        <f t="shared" si="63"/>
        <v>94</v>
      </c>
      <c r="AN23" s="10">
        <f t="shared" si="63"/>
        <v>149.19999999999999</v>
      </c>
      <c r="AO23" s="11">
        <f t="shared" si="63"/>
        <v>164.9</v>
      </c>
      <c r="AP23" s="88"/>
    </row>
    <row r="24" spans="1:52" ht="14.45" customHeight="1" x14ac:dyDescent="0.25">
      <c r="A24" s="222"/>
      <c r="B24" s="27" t="s">
        <v>24</v>
      </c>
      <c r="C24" s="112">
        <f t="shared" si="38"/>
        <v>19.801600000000001</v>
      </c>
      <c r="D24" s="113">
        <f t="shared" si="39"/>
        <v>30.654399999999999</v>
      </c>
      <c r="E24" s="113">
        <f t="shared" si="40"/>
        <v>60.404399999999995</v>
      </c>
      <c r="F24" s="114">
        <f t="shared" si="41"/>
        <v>69.852999999999994</v>
      </c>
      <c r="G24" s="108"/>
      <c r="H24" s="115">
        <f t="shared" si="42"/>
        <v>30.273600000000002</v>
      </c>
      <c r="I24" s="116">
        <f t="shared" si="43"/>
        <v>46.9574</v>
      </c>
      <c r="J24" s="116">
        <f t="shared" si="44"/>
        <v>69.305599999999998</v>
      </c>
      <c r="K24" s="117">
        <f t="shared" si="45"/>
        <v>82.728799999999993</v>
      </c>
      <c r="L24" s="8"/>
      <c r="M24" s="12">
        <f t="shared" si="46"/>
        <v>25.787300000000002</v>
      </c>
      <c r="N24" s="13">
        <f t="shared" si="47"/>
        <v>39.924500000000002</v>
      </c>
      <c r="O24" s="13">
        <f t="shared" si="48"/>
        <v>78.670900000000017</v>
      </c>
      <c r="P24" s="14">
        <f t="shared" si="49"/>
        <v>90.975499999999997</v>
      </c>
      <c r="Q24" s="8"/>
      <c r="R24" s="15">
        <f t="shared" si="50"/>
        <v>39.427080000000004</v>
      </c>
      <c r="S24" s="16">
        <f t="shared" si="51"/>
        <v>61.156480000000002</v>
      </c>
      <c r="T24" s="16">
        <f t="shared" si="52"/>
        <v>90.268639999999991</v>
      </c>
      <c r="U24" s="17">
        <f t="shared" si="53"/>
        <v>107.75688000000001</v>
      </c>
      <c r="W24" s="12" t="str">
        <f t="shared" si="54"/>
        <v>N/A</v>
      </c>
      <c r="X24" s="13" t="str">
        <f t="shared" si="55"/>
        <v>N/A</v>
      </c>
      <c r="Y24" s="13" t="str">
        <f t="shared" si="56"/>
        <v>N/A</v>
      </c>
      <c r="Z24" s="14" t="str">
        <f t="shared" si="57"/>
        <v>N/A</v>
      </c>
      <c r="AA24" s="8"/>
      <c r="AB24" s="15" t="str">
        <f t="shared" si="58"/>
        <v>N/A</v>
      </c>
      <c r="AC24" s="16" t="str">
        <f t="shared" si="59"/>
        <v>N/A</v>
      </c>
      <c r="AD24" s="16" t="str">
        <f t="shared" si="60"/>
        <v>N/A</v>
      </c>
      <c r="AE24" s="17" t="str">
        <f t="shared" si="61"/>
        <v>N/A</v>
      </c>
      <c r="AF24" s="88"/>
      <c r="AG24" s="12">
        <f t="shared" si="62"/>
        <v>47.3</v>
      </c>
      <c r="AH24" s="13">
        <f t="shared" si="62"/>
        <v>73.5</v>
      </c>
      <c r="AI24" s="13">
        <f t="shared" si="62"/>
        <v>144.9</v>
      </c>
      <c r="AJ24" s="114">
        <f t="shared" si="62"/>
        <v>167.5</v>
      </c>
      <c r="AK24" s="108"/>
      <c r="AL24" s="115">
        <f t="shared" si="63"/>
        <v>72.5</v>
      </c>
      <c r="AM24" s="16">
        <f t="shared" si="63"/>
        <v>112.5</v>
      </c>
      <c r="AN24" s="16">
        <f t="shared" si="63"/>
        <v>166.1</v>
      </c>
      <c r="AO24" s="17">
        <f t="shared" si="63"/>
        <v>198.4</v>
      </c>
      <c r="AP24" s="88"/>
    </row>
    <row r="25" spans="1:52" ht="14.45" customHeight="1" x14ac:dyDescent="0.25">
      <c r="A25" s="222"/>
      <c r="B25" s="27" t="s">
        <v>25</v>
      </c>
      <c r="C25" s="112">
        <f t="shared" si="38"/>
        <v>21.848399999999998</v>
      </c>
      <c r="D25" s="113">
        <f t="shared" si="39"/>
        <v>36.080799999999996</v>
      </c>
      <c r="E25" s="113">
        <f t="shared" si="40"/>
        <v>73.70859999999999</v>
      </c>
      <c r="F25" s="114">
        <f t="shared" si="41"/>
        <v>86.203599999999994</v>
      </c>
      <c r="G25" s="108"/>
      <c r="H25" s="115">
        <f t="shared" si="42"/>
        <v>33.439</v>
      </c>
      <c r="I25" s="116">
        <f t="shared" si="43"/>
        <v>52.669399999999996</v>
      </c>
      <c r="J25" s="116">
        <f t="shared" si="44"/>
        <v>85.203999999999994</v>
      </c>
      <c r="K25" s="117">
        <f t="shared" si="45"/>
        <v>95.818799999999996</v>
      </c>
      <c r="L25" s="8"/>
      <c r="M25" s="12">
        <f t="shared" si="46"/>
        <v>28.457660000000001</v>
      </c>
      <c r="N25" s="13">
        <f t="shared" si="47"/>
        <v>46.993099999999998</v>
      </c>
      <c r="O25" s="13">
        <f t="shared" si="48"/>
        <v>96.00206</v>
      </c>
      <c r="P25" s="14">
        <f t="shared" si="49"/>
        <v>112.25984000000001</v>
      </c>
      <c r="Q25" s="8"/>
      <c r="R25" s="15">
        <f t="shared" si="50"/>
        <v>43.563520000000004</v>
      </c>
      <c r="S25" s="16">
        <f t="shared" si="51"/>
        <v>68.5916</v>
      </c>
      <c r="T25" s="16">
        <f t="shared" si="52"/>
        <v>110.97702000000001</v>
      </c>
      <c r="U25" s="17">
        <f t="shared" si="53"/>
        <v>124.80006</v>
      </c>
      <c r="W25" s="12" t="str">
        <f t="shared" si="54"/>
        <v>N/A</v>
      </c>
      <c r="X25" s="13" t="str">
        <f t="shared" si="55"/>
        <v>N/A</v>
      </c>
      <c r="Y25" s="13" t="str">
        <f t="shared" si="56"/>
        <v>N/A</v>
      </c>
      <c r="Z25" s="14" t="str">
        <f t="shared" si="57"/>
        <v>N/A</v>
      </c>
      <c r="AA25" s="8"/>
      <c r="AB25" s="15" t="str">
        <f t="shared" si="58"/>
        <v>N/A</v>
      </c>
      <c r="AC25" s="16" t="str">
        <f t="shared" si="59"/>
        <v>N/A</v>
      </c>
      <c r="AD25" s="16" t="str">
        <f t="shared" si="60"/>
        <v>N/A</v>
      </c>
      <c r="AE25" s="17" t="str">
        <f t="shared" si="61"/>
        <v>N/A</v>
      </c>
      <c r="AF25" s="88"/>
      <c r="AG25" s="12">
        <f t="shared" si="62"/>
        <v>52.3</v>
      </c>
      <c r="AH25" s="13">
        <f t="shared" si="62"/>
        <v>86.3</v>
      </c>
      <c r="AI25" s="13">
        <f t="shared" si="62"/>
        <v>176.8</v>
      </c>
      <c r="AJ25" s="114">
        <f t="shared" si="62"/>
        <v>206.8</v>
      </c>
      <c r="AK25" s="108"/>
      <c r="AL25" s="115">
        <f t="shared" si="63"/>
        <v>80.2</v>
      </c>
      <c r="AM25" s="16">
        <f t="shared" si="63"/>
        <v>126.3</v>
      </c>
      <c r="AN25" s="16">
        <f t="shared" si="63"/>
        <v>204.4</v>
      </c>
      <c r="AO25" s="17">
        <f t="shared" si="63"/>
        <v>229.9</v>
      </c>
      <c r="AP25" s="88"/>
    </row>
    <row r="26" spans="1:52" ht="14.45" customHeight="1" x14ac:dyDescent="0.25">
      <c r="A26" s="222"/>
      <c r="B26" s="27" t="s">
        <v>26</v>
      </c>
      <c r="C26" s="112">
        <f t="shared" si="38"/>
        <v>24.109400000000001</v>
      </c>
      <c r="D26" s="113">
        <f t="shared" si="39"/>
        <v>47.671399999999998</v>
      </c>
      <c r="E26" s="113">
        <f t="shared" si="40"/>
        <v>91.058799999999991</v>
      </c>
      <c r="F26" s="114">
        <f t="shared" si="41"/>
        <v>108.05199999999999</v>
      </c>
      <c r="G26" s="108"/>
      <c r="H26" s="115">
        <f t="shared" si="42"/>
        <v>36.818599999999996</v>
      </c>
      <c r="I26" s="116">
        <f t="shared" si="43"/>
        <v>67.211199999999991</v>
      </c>
      <c r="J26" s="116">
        <f t="shared" si="44"/>
        <v>105.10079999999999</v>
      </c>
      <c r="K26" s="117">
        <f t="shared" si="45"/>
        <v>124.2122</v>
      </c>
      <c r="L26" s="8"/>
      <c r="M26" s="12">
        <f t="shared" si="46"/>
        <v>31.389820000000004</v>
      </c>
      <c r="N26" s="13">
        <f t="shared" si="47"/>
        <v>62.098960000000005</v>
      </c>
      <c r="O26" s="13">
        <f t="shared" si="48"/>
        <v>118.59539999999998</v>
      </c>
      <c r="P26" s="14">
        <f t="shared" si="49"/>
        <v>140.7175</v>
      </c>
      <c r="Q26" s="8"/>
      <c r="R26" s="15">
        <f t="shared" si="50"/>
        <v>47.961759999999998</v>
      </c>
      <c r="S26" s="16">
        <f t="shared" si="51"/>
        <v>87.545919999999995</v>
      </c>
      <c r="T26" s="16">
        <f t="shared" si="52"/>
        <v>136.89521999999999</v>
      </c>
      <c r="U26" s="17">
        <f t="shared" si="53"/>
        <v>161.76622</v>
      </c>
      <c r="W26" s="12" t="str">
        <f t="shared" si="54"/>
        <v>N/A</v>
      </c>
      <c r="X26" s="13" t="str">
        <f t="shared" si="55"/>
        <v>N/A</v>
      </c>
      <c r="Y26" s="13" t="str">
        <f t="shared" si="56"/>
        <v>N/A</v>
      </c>
      <c r="Z26" s="14" t="str">
        <f t="shared" si="57"/>
        <v>N/A</v>
      </c>
      <c r="AA26" s="8"/>
      <c r="AB26" s="15" t="str">
        <f t="shared" si="58"/>
        <v>N/A</v>
      </c>
      <c r="AC26" s="16" t="str">
        <f t="shared" si="59"/>
        <v>N/A</v>
      </c>
      <c r="AD26" s="16" t="str">
        <f t="shared" si="60"/>
        <v>N/A</v>
      </c>
      <c r="AE26" s="17" t="str">
        <f t="shared" si="61"/>
        <v>N/A</v>
      </c>
      <c r="AF26" s="88"/>
      <c r="AG26" s="12">
        <f t="shared" si="62"/>
        <v>57.8</v>
      </c>
      <c r="AH26" s="13">
        <f t="shared" si="62"/>
        <v>114.2</v>
      </c>
      <c r="AI26" s="13">
        <f t="shared" si="62"/>
        <v>218.4</v>
      </c>
      <c r="AJ26" s="114">
        <f t="shared" si="62"/>
        <v>259.10000000000002</v>
      </c>
      <c r="AK26" s="108"/>
      <c r="AL26" s="115">
        <f t="shared" si="63"/>
        <v>88.2</v>
      </c>
      <c r="AM26" s="16">
        <f t="shared" si="63"/>
        <v>161.1</v>
      </c>
      <c r="AN26" s="16">
        <f t="shared" si="63"/>
        <v>252</v>
      </c>
      <c r="AO26" s="17">
        <f t="shared" si="63"/>
        <v>297.89999999999998</v>
      </c>
      <c r="AP26" s="88"/>
      <c r="AQ26" s="37"/>
      <c r="AR26" s="37"/>
    </row>
    <row r="27" spans="1:52" ht="14.45" customHeight="1" x14ac:dyDescent="0.25">
      <c r="A27" s="222"/>
      <c r="B27" s="27" t="s">
        <v>27</v>
      </c>
      <c r="C27" s="112">
        <f t="shared" si="38"/>
        <v>24.157</v>
      </c>
      <c r="D27" s="113">
        <f t="shared" si="39"/>
        <v>56.239399999999996</v>
      </c>
      <c r="E27" s="113">
        <f t="shared" si="40"/>
        <v>102.31619999999999</v>
      </c>
      <c r="F27" s="114">
        <f t="shared" si="41"/>
        <v>119.16659999999999</v>
      </c>
      <c r="G27" s="108"/>
      <c r="H27" s="115">
        <f t="shared" si="42"/>
        <v>36.842399999999998</v>
      </c>
      <c r="I27" s="116">
        <f t="shared" si="43"/>
        <v>78.754200000000012</v>
      </c>
      <c r="J27" s="116">
        <f t="shared" si="44"/>
        <v>116.02499999999999</v>
      </c>
      <c r="K27" s="117">
        <f t="shared" si="45"/>
        <v>134.4462</v>
      </c>
      <c r="L27" s="8"/>
      <c r="M27" s="12">
        <f t="shared" si="46"/>
        <v>31.468360000000001</v>
      </c>
      <c r="N27" s="13">
        <f t="shared" si="47"/>
        <v>73.251640000000009</v>
      </c>
      <c r="O27" s="13">
        <f t="shared" si="48"/>
        <v>133.25620000000001</v>
      </c>
      <c r="P27" s="14">
        <f t="shared" si="49"/>
        <v>155.19504000000003</v>
      </c>
      <c r="Q27" s="8"/>
      <c r="R27" s="15">
        <f t="shared" si="50"/>
        <v>47.987940000000002</v>
      </c>
      <c r="S27" s="16">
        <f t="shared" si="51"/>
        <v>102.57324000000001</v>
      </c>
      <c r="T27" s="16">
        <f t="shared" si="52"/>
        <v>151.11096000000001</v>
      </c>
      <c r="U27" s="17">
        <f t="shared" si="53"/>
        <v>175.09183999999999</v>
      </c>
      <c r="W27" s="12" t="str">
        <f t="shared" si="54"/>
        <v>N/A</v>
      </c>
      <c r="X27" s="13" t="str">
        <f t="shared" si="55"/>
        <v>N/A</v>
      </c>
      <c r="Y27" s="13" t="str">
        <f t="shared" si="56"/>
        <v>N/A</v>
      </c>
      <c r="Z27" s="14" t="str">
        <f t="shared" si="57"/>
        <v>N/A</v>
      </c>
      <c r="AA27" s="8"/>
      <c r="AB27" s="15" t="str">
        <f t="shared" si="58"/>
        <v>N/A</v>
      </c>
      <c r="AC27" s="16" t="str">
        <f t="shared" si="59"/>
        <v>N/A</v>
      </c>
      <c r="AD27" s="16" t="str">
        <f t="shared" si="60"/>
        <v>N/A</v>
      </c>
      <c r="AE27" s="17" t="str">
        <f t="shared" si="61"/>
        <v>N/A</v>
      </c>
      <c r="AF27" s="88"/>
      <c r="AG27" s="112">
        <f t="shared" si="62"/>
        <v>57.8</v>
      </c>
      <c r="AH27" s="13">
        <f t="shared" si="62"/>
        <v>134.9</v>
      </c>
      <c r="AI27" s="13">
        <f t="shared" si="62"/>
        <v>245.3</v>
      </c>
      <c r="AJ27" s="114">
        <f t="shared" si="62"/>
        <v>285.8</v>
      </c>
      <c r="AK27" s="108"/>
      <c r="AL27" s="115">
        <f t="shared" si="63"/>
        <v>88.2</v>
      </c>
      <c r="AM27" s="16">
        <f t="shared" si="63"/>
        <v>188.9</v>
      </c>
      <c r="AN27" s="16">
        <f t="shared" si="63"/>
        <v>278.39999999999998</v>
      </c>
      <c r="AO27" s="17">
        <f t="shared" si="63"/>
        <v>322.39999999999998</v>
      </c>
      <c r="AP27" s="88"/>
    </row>
    <row r="28" spans="1:52" ht="14.45" customHeight="1" thickBot="1" x14ac:dyDescent="0.3">
      <c r="A28" s="223"/>
      <c r="B28" s="27" t="s">
        <v>29</v>
      </c>
      <c r="C28" s="112" t="str">
        <f t="shared" si="38"/>
        <v>N/A</v>
      </c>
      <c r="D28" s="113">
        <f t="shared" si="39"/>
        <v>7.4969999999999999</v>
      </c>
      <c r="E28" s="113">
        <f t="shared" si="40"/>
        <v>14.4704</v>
      </c>
      <c r="F28" s="114">
        <f t="shared" si="41"/>
        <v>19.515999999999998</v>
      </c>
      <c r="G28" s="108"/>
      <c r="H28" s="115" t="str">
        <f t="shared" si="42"/>
        <v>N/A</v>
      </c>
      <c r="I28" s="116">
        <f t="shared" si="43"/>
        <v>10.186400000000001</v>
      </c>
      <c r="J28" s="116">
        <f t="shared" si="44"/>
        <v>15.827</v>
      </c>
      <c r="K28" s="117">
        <f t="shared" si="45"/>
        <v>21.134399999999999</v>
      </c>
      <c r="L28" s="8"/>
      <c r="M28" s="12" t="str">
        <f t="shared" si="46"/>
        <v>N/A</v>
      </c>
      <c r="N28" s="13">
        <f t="shared" si="47"/>
        <v>9.7651400000000006</v>
      </c>
      <c r="O28" s="13">
        <f t="shared" si="48"/>
        <v>18.849600000000002</v>
      </c>
      <c r="P28" s="14">
        <f t="shared" si="49"/>
        <v>25.420780000000001</v>
      </c>
      <c r="Q28" s="8"/>
      <c r="R28" s="15" t="str">
        <f t="shared" si="50"/>
        <v>N/A</v>
      </c>
      <c r="S28" s="16">
        <f t="shared" si="51"/>
        <v>13.273260000000002</v>
      </c>
      <c r="T28" s="16">
        <f t="shared" si="52"/>
        <v>20.603659999999998</v>
      </c>
      <c r="U28" s="17">
        <f t="shared" si="53"/>
        <v>27.515179999999997</v>
      </c>
      <c r="W28" s="12" t="str">
        <f t="shared" si="54"/>
        <v>N/A</v>
      </c>
      <c r="X28" s="13" t="str">
        <f t="shared" si="55"/>
        <v>N/A</v>
      </c>
      <c r="Y28" s="13" t="str">
        <f t="shared" si="56"/>
        <v>N/A</v>
      </c>
      <c r="Z28" s="14" t="str">
        <f t="shared" si="57"/>
        <v>N/A</v>
      </c>
      <c r="AA28" s="8"/>
      <c r="AB28" s="15" t="str">
        <f t="shared" si="58"/>
        <v>N/A</v>
      </c>
      <c r="AC28" s="16" t="str">
        <f t="shared" si="59"/>
        <v>N/A</v>
      </c>
      <c r="AD28" s="16" t="str">
        <f t="shared" si="60"/>
        <v>N/A</v>
      </c>
      <c r="AE28" s="17" t="str">
        <f t="shared" si="61"/>
        <v>N/A</v>
      </c>
      <c r="AF28" s="88"/>
      <c r="AG28" s="112" t="s">
        <v>118</v>
      </c>
      <c r="AH28" s="13">
        <f>ROUNDDOWN(AH12*$C$22,1)</f>
        <v>17.8</v>
      </c>
      <c r="AI28" s="13">
        <f>ROUNDDOWN(AI12*$C$22,1)</f>
        <v>34.5</v>
      </c>
      <c r="AJ28" s="114">
        <f>ROUNDDOWN(AJ12*$C$22,1)</f>
        <v>46.6</v>
      </c>
      <c r="AK28" s="108"/>
      <c r="AL28" s="115" t="s">
        <v>118</v>
      </c>
      <c r="AM28" s="16">
        <f>ROUNDDOWN(AM12*$C$22,1)</f>
        <v>24.2</v>
      </c>
      <c r="AN28" s="16">
        <f>ROUNDDOWN(AN12*$C$22,1)</f>
        <v>37.799999999999997</v>
      </c>
      <c r="AO28" s="17">
        <f>ROUNDDOWN(AO12*$C$22,1)</f>
        <v>50.6</v>
      </c>
      <c r="AP28" s="88"/>
    </row>
    <row r="29" spans="1:52" ht="5.0999999999999996" customHeight="1" thickBot="1" x14ac:dyDescent="0.3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W29" s="8"/>
      <c r="X29" s="8"/>
      <c r="Y29" s="8"/>
      <c r="Z29" s="8"/>
      <c r="AA29" s="8"/>
      <c r="AB29" s="8"/>
      <c r="AC29" s="8"/>
      <c r="AD29" s="8"/>
      <c r="AE29" s="8"/>
      <c r="AF29" s="89"/>
      <c r="AG29" s="108"/>
      <c r="AH29" s="108"/>
      <c r="AI29" s="108"/>
      <c r="AJ29" s="108"/>
      <c r="AK29" s="108"/>
      <c r="AL29" s="108"/>
      <c r="AM29" s="108"/>
      <c r="AN29" s="108"/>
      <c r="AO29" s="108"/>
      <c r="AP29" s="89"/>
    </row>
    <row r="30" spans="1:52" ht="15.75" thickBot="1" x14ac:dyDescent="0.3">
      <c r="B30" s="28" t="s">
        <v>119</v>
      </c>
      <c r="C30" s="29">
        <v>4.3600000000000003</v>
      </c>
      <c r="D30" s="28"/>
      <c r="E30" s="28"/>
      <c r="F30" s="28"/>
      <c r="G30" s="28"/>
      <c r="H30" s="29">
        <v>4.3600000000000003</v>
      </c>
      <c r="I30" s="28"/>
      <c r="J30" s="28"/>
      <c r="K30" s="28"/>
      <c r="L30" s="28"/>
      <c r="M30" s="29">
        <v>4.3600000000000003</v>
      </c>
      <c r="N30" s="28"/>
      <c r="O30" s="28"/>
      <c r="P30" s="28"/>
      <c r="Q30" s="28"/>
      <c r="R30" s="29">
        <v>4.3600000000000003</v>
      </c>
      <c r="T30" s="8"/>
      <c r="U30" s="8"/>
      <c r="W30" s="29">
        <v>4.3600000000000003</v>
      </c>
      <c r="X30" s="28"/>
      <c r="Y30" s="28"/>
      <c r="Z30" s="28"/>
      <c r="AA30" s="28"/>
      <c r="AB30" s="29">
        <v>4.3600000000000003</v>
      </c>
      <c r="AD30" s="8"/>
      <c r="AE30" s="8"/>
      <c r="AF30" s="89"/>
      <c r="AG30" s="108"/>
      <c r="AH30" s="108"/>
      <c r="AI30" s="108"/>
      <c r="AJ30" s="108"/>
      <c r="AK30" s="108"/>
      <c r="AN30" s="108"/>
      <c r="AO30" s="108"/>
      <c r="AP30" s="89"/>
    </row>
    <row r="31" spans="1:52" ht="14.45" customHeight="1" x14ac:dyDescent="0.25">
      <c r="A31" s="221" t="s">
        <v>122</v>
      </c>
      <c r="B31" s="26" t="s">
        <v>23</v>
      </c>
      <c r="C31" s="105">
        <f t="shared" ref="C31:C36" si="64">IFERROR(C7*C$30,"N/A")</f>
        <v>34.531200000000005</v>
      </c>
      <c r="D31" s="106">
        <f t="shared" ref="D31:D36" si="65">IFERROR(D7*C$30,"N/A")</f>
        <v>43.643599999999999</v>
      </c>
      <c r="E31" s="106">
        <f t="shared" ref="E31:E36" si="66">IFERROR(E7*C$30,"N/A")</f>
        <v>91.908799999999999</v>
      </c>
      <c r="F31" s="107">
        <f t="shared" ref="F31:F36" si="67">IFERROR(F7*C$30,"N/A")</f>
        <v>105.77360000000002</v>
      </c>
      <c r="G31" s="108"/>
      <c r="H31" s="109">
        <f t="shared" ref="H31:H36" si="68">IFERROR(H7*H$30,"N/A")</f>
        <v>52.799599999999998</v>
      </c>
      <c r="I31" s="110">
        <f t="shared" ref="I31:I36" si="69">IFERROR(I7*H$30,"N/A")</f>
        <v>71.8964</v>
      </c>
      <c r="J31" s="110">
        <f t="shared" ref="J31:J36" si="70">IFERROR(J7*H$30,"N/A")</f>
        <v>113.97040000000001</v>
      </c>
      <c r="K31" s="111">
        <f t="shared" ref="K31:K36" si="71">IFERROR(K7*H$30,"N/A")</f>
        <v>126.004</v>
      </c>
      <c r="L31" s="8"/>
      <c r="M31" s="5">
        <f t="shared" ref="M31:M36" si="72">IFERROR(M7*M$30,"N/A")</f>
        <v>44.986480000000007</v>
      </c>
      <c r="N31" s="6">
        <f t="shared" ref="N31:N36" si="73">IFERROR(N7*M$30,"N/A")</f>
        <v>56.832600000000006</v>
      </c>
      <c r="O31" s="6">
        <f t="shared" ref="O31:O36" si="74">IFERROR(O7*M$30,"N/A")</f>
        <v>119.70816000000002</v>
      </c>
      <c r="P31" s="7">
        <f t="shared" ref="P31:P36" si="75">IFERROR(P7*M$30,"N/A")</f>
        <v>137.74112000000002</v>
      </c>
      <c r="Q31" s="8"/>
      <c r="R31" s="9">
        <f t="shared" ref="R31:R36" si="76">IFERROR(R7*R$30,"N/A")</f>
        <v>68.774640000000005</v>
      </c>
      <c r="S31" s="10">
        <f t="shared" ref="S31:S36" si="77">IFERROR(S7*R$30,"N/A")</f>
        <v>93.617920000000012</v>
      </c>
      <c r="T31" s="10">
        <f t="shared" ref="T31:T36" si="78">IFERROR(T7*R$30,"N/A")</f>
        <v>148.43620000000001</v>
      </c>
      <c r="U31" s="11">
        <f t="shared" ref="U31:U36" si="79">IFERROR(U7*R$30,"N/A")</f>
        <v>164.11912000000004</v>
      </c>
      <c r="W31" s="5" t="str">
        <f t="shared" ref="W31:W36" si="80">IFERROR(W7*W$30,"N/A")</f>
        <v>N/A</v>
      </c>
      <c r="X31" s="6" t="str">
        <f t="shared" ref="X31:X36" si="81">IFERROR(X7*W$30,"N/A")</f>
        <v>N/A</v>
      </c>
      <c r="Y31" s="6" t="str">
        <f t="shared" ref="Y31:Y36" si="82">IFERROR(Y7*W$30,"N/A")</f>
        <v>N/A</v>
      </c>
      <c r="Z31" s="7" t="str">
        <f t="shared" ref="Z31:Z36" si="83">IFERROR(Z7*W$30,"N/A")</f>
        <v>N/A</v>
      </c>
      <c r="AA31" s="8"/>
      <c r="AB31" s="9" t="str">
        <f t="shared" ref="AB31:AB36" si="84">IFERROR(AB7*AB$30,"N/A")</f>
        <v>N/A</v>
      </c>
      <c r="AC31" s="10" t="str">
        <f t="shared" ref="AC31:AC36" si="85">IFERROR(AC7*AB$30,"N/A")</f>
        <v>N/A</v>
      </c>
      <c r="AD31" s="10" t="str">
        <f t="shared" ref="AD31:AD36" si="86">IFERROR(AD7*AB$30,"N/A")</f>
        <v>N/A</v>
      </c>
      <c r="AE31" s="11" t="str">
        <f t="shared" ref="AE31:AE36" si="87">IFERROR(AE7*AB$30,"N/A")</f>
        <v>N/A</v>
      </c>
      <c r="AF31" s="88"/>
      <c r="AG31" s="5">
        <f t="shared" ref="AG31:AJ35" si="88">ROUNDDOWN(AG7*$C$30,1)</f>
        <v>82.8</v>
      </c>
      <c r="AH31" s="6">
        <f t="shared" si="88"/>
        <v>104.6</v>
      </c>
      <c r="AI31" s="6">
        <f t="shared" si="88"/>
        <v>220.1</v>
      </c>
      <c r="AJ31" s="107">
        <f t="shared" si="88"/>
        <v>253.7</v>
      </c>
      <c r="AK31" s="108"/>
      <c r="AL31" s="109">
        <f t="shared" ref="AL31:AO35" si="89">ROUNDDOWN(AL7*$C$30,1)</f>
        <v>126.4</v>
      </c>
      <c r="AM31" s="10">
        <f t="shared" si="89"/>
        <v>172.2</v>
      </c>
      <c r="AN31" s="10">
        <f t="shared" si="89"/>
        <v>273.3</v>
      </c>
      <c r="AO31" s="11">
        <f t="shared" si="89"/>
        <v>302.10000000000002</v>
      </c>
      <c r="AP31" s="88"/>
    </row>
    <row r="32" spans="1:52" ht="14.45" customHeight="1" x14ac:dyDescent="0.25">
      <c r="A32" s="222"/>
      <c r="B32" s="27" t="s">
        <v>24</v>
      </c>
      <c r="C32" s="112">
        <f t="shared" si="64"/>
        <v>36.275200000000005</v>
      </c>
      <c r="D32" s="113">
        <f t="shared" si="65"/>
        <v>56.156800000000004</v>
      </c>
      <c r="E32" s="113">
        <f t="shared" si="66"/>
        <v>110.6568</v>
      </c>
      <c r="F32" s="114">
        <f t="shared" si="67"/>
        <v>127.96600000000002</v>
      </c>
      <c r="G32" s="108"/>
      <c r="H32" s="115">
        <f t="shared" si="68"/>
        <v>55.45920000000001</v>
      </c>
      <c r="I32" s="116">
        <f t="shared" si="69"/>
        <v>86.022800000000004</v>
      </c>
      <c r="J32" s="116">
        <f t="shared" si="70"/>
        <v>126.96320000000001</v>
      </c>
      <c r="K32" s="117">
        <f t="shared" si="71"/>
        <v>151.55359999999999</v>
      </c>
      <c r="L32" s="8"/>
      <c r="M32" s="12">
        <f t="shared" si="72"/>
        <v>47.240600000000008</v>
      </c>
      <c r="N32" s="13">
        <f t="shared" si="73"/>
        <v>73.13900000000001</v>
      </c>
      <c r="O32" s="13">
        <f t="shared" si="74"/>
        <v>144.11980000000003</v>
      </c>
      <c r="P32" s="14">
        <f t="shared" si="75"/>
        <v>166.66100000000003</v>
      </c>
      <c r="Q32" s="8"/>
      <c r="R32" s="15">
        <f t="shared" si="76"/>
        <v>72.227760000000018</v>
      </c>
      <c r="S32" s="16">
        <f t="shared" si="77"/>
        <v>112.03456000000001</v>
      </c>
      <c r="T32" s="16">
        <f t="shared" si="78"/>
        <v>165.36608000000001</v>
      </c>
      <c r="U32" s="17">
        <f t="shared" si="79"/>
        <v>197.40336000000002</v>
      </c>
      <c r="W32" s="12" t="str">
        <f t="shared" si="80"/>
        <v>N/A</v>
      </c>
      <c r="X32" s="13" t="str">
        <f t="shared" si="81"/>
        <v>N/A</v>
      </c>
      <c r="Y32" s="13" t="str">
        <f t="shared" si="82"/>
        <v>N/A</v>
      </c>
      <c r="Z32" s="14" t="str">
        <f t="shared" si="83"/>
        <v>N/A</v>
      </c>
      <c r="AA32" s="8"/>
      <c r="AB32" s="15" t="str">
        <f t="shared" si="84"/>
        <v>N/A</v>
      </c>
      <c r="AC32" s="16" t="str">
        <f t="shared" si="85"/>
        <v>N/A</v>
      </c>
      <c r="AD32" s="16" t="str">
        <f t="shared" si="86"/>
        <v>N/A</v>
      </c>
      <c r="AE32" s="17" t="str">
        <f t="shared" si="87"/>
        <v>N/A</v>
      </c>
      <c r="AF32" s="88"/>
      <c r="AG32" s="12">
        <f t="shared" si="88"/>
        <v>86.7</v>
      </c>
      <c r="AH32" s="13">
        <f t="shared" si="88"/>
        <v>134.69999999999999</v>
      </c>
      <c r="AI32" s="13">
        <f t="shared" si="88"/>
        <v>265.5</v>
      </c>
      <c r="AJ32" s="114">
        <f t="shared" si="88"/>
        <v>306.89999999999998</v>
      </c>
      <c r="AK32" s="108"/>
      <c r="AL32" s="115">
        <f t="shared" si="89"/>
        <v>132.9</v>
      </c>
      <c r="AM32" s="16">
        <f t="shared" si="89"/>
        <v>206.2</v>
      </c>
      <c r="AN32" s="16">
        <f t="shared" si="89"/>
        <v>304.3</v>
      </c>
      <c r="AO32" s="17">
        <f t="shared" si="89"/>
        <v>363.6</v>
      </c>
      <c r="AP32" s="88"/>
    </row>
    <row r="33" spans="1:42" ht="14.45" customHeight="1" x14ac:dyDescent="0.25">
      <c r="A33" s="222"/>
      <c r="B33" s="27" t="s">
        <v>25</v>
      </c>
      <c r="C33" s="112">
        <f t="shared" si="64"/>
        <v>40.024799999999999</v>
      </c>
      <c r="D33" s="113">
        <f t="shared" si="65"/>
        <v>66.0976</v>
      </c>
      <c r="E33" s="113">
        <f t="shared" si="66"/>
        <v>135.0292</v>
      </c>
      <c r="F33" s="114">
        <f t="shared" si="67"/>
        <v>157.91920000000002</v>
      </c>
      <c r="G33" s="108"/>
      <c r="H33" s="115">
        <f t="shared" si="68"/>
        <v>61.25800000000001</v>
      </c>
      <c r="I33" s="116">
        <f t="shared" si="69"/>
        <v>96.486800000000002</v>
      </c>
      <c r="J33" s="116">
        <f t="shared" si="70"/>
        <v>156.08799999999999</v>
      </c>
      <c r="K33" s="117">
        <f t="shared" si="71"/>
        <v>175.53360000000001</v>
      </c>
      <c r="L33" s="8"/>
      <c r="M33" s="12">
        <f t="shared" si="72"/>
        <v>52.132520000000007</v>
      </c>
      <c r="N33" s="13">
        <f t="shared" si="73"/>
        <v>86.088200000000015</v>
      </c>
      <c r="O33" s="13">
        <f t="shared" si="74"/>
        <v>175.86932000000002</v>
      </c>
      <c r="P33" s="14">
        <f t="shared" si="75"/>
        <v>205.65248000000005</v>
      </c>
      <c r="Q33" s="8"/>
      <c r="R33" s="15">
        <f t="shared" si="76"/>
        <v>79.805440000000019</v>
      </c>
      <c r="S33" s="16">
        <f t="shared" si="77"/>
        <v>125.65520000000001</v>
      </c>
      <c r="T33" s="16">
        <f t="shared" si="78"/>
        <v>203.30244000000005</v>
      </c>
      <c r="U33" s="17">
        <f t="shared" si="79"/>
        <v>228.62532000000004</v>
      </c>
      <c r="W33" s="12" t="str">
        <f t="shared" si="80"/>
        <v>N/A</v>
      </c>
      <c r="X33" s="13" t="str">
        <f t="shared" si="81"/>
        <v>N/A</v>
      </c>
      <c r="Y33" s="13" t="str">
        <f t="shared" si="82"/>
        <v>N/A</v>
      </c>
      <c r="Z33" s="14" t="str">
        <f t="shared" si="83"/>
        <v>N/A</v>
      </c>
      <c r="AA33" s="8"/>
      <c r="AB33" s="15" t="str">
        <f t="shared" si="84"/>
        <v>N/A</v>
      </c>
      <c r="AC33" s="16" t="str">
        <f t="shared" si="85"/>
        <v>N/A</v>
      </c>
      <c r="AD33" s="16" t="str">
        <f t="shared" si="86"/>
        <v>N/A</v>
      </c>
      <c r="AE33" s="17" t="str">
        <f t="shared" si="87"/>
        <v>N/A</v>
      </c>
      <c r="AF33" s="88"/>
      <c r="AG33" s="12">
        <f t="shared" si="88"/>
        <v>95.9</v>
      </c>
      <c r="AH33" s="13">
        <f t="shared" si="88"/>
        <v>158.19999999999999</v>
      </c>
      <c r="AI33" s="13">
        <f t="shared" si="88"/>
        <v>323.89999999999998</v>
      </c>
      <c r="AJ33" s="114">
        <f t="shared" si="88"/>
        <v>378.8</v>
      </c>
      <c r="AK33" s="108"/>
      <c r="AL33" s="115">
        <f t="shared" si="89"/>
        <v>146.9</v>
      </c>
      <c r="AM33" s="16">
        <f t="shared" si="89"/>
        <v>231.5</v>
      </c>
      <c r="AN33" s="16">
        <f t="shared" si="89"/>
        <v>374.5</v>
      </c>
      <c r="AO33" s="17">
        <f t="shared" si="89"/>
        <v>421.1</v>
      </c>
      <c r="AP33" s="88"/>
    </row>
    <row r="34" spans="1:42" ht="14.45" customHeight="1" x14ac:dyDescent="0.25">
      <c r="A34" s="222"/>
      <c r="B34" s="27" t="s">
        <v>26</v>
      </c>
      <c r="C34" s="112">
        <f t="shared" si="64"/>
        <v>44.166800000000009</v>
      </c>
      <c r="D34" s="113">
        <f t="shared" si="65"/>
        <v>87.330800000000011</v>
      </c>
      <c r="E34" s="113">
        <f t="shared" si="66"/>
        <v>166.81360000000001</v>
      </c>
      <c r="F34" s="114">
        <f t="shared" si="67"/>
        <v>197.94400000000002</v>
      </c>
      <c r="G34" s="108"/>
      <c r="H34" s="115">
        <f t="shared" si="68"/>
        <v>67.449200000000005</v>
      </c>
      <c r="I34" s="116">
        <f t="shared" si="69"/>
        <v>123.1264</v>
      </c>
      <c r="J34" s="116">
        <f t="shared" si="70"/>
        <v>192.5376</v>
      </c>
      <c r="K34" s="117">
        <f t="shared" si="71"/>
        <v>227.54840000000002</v>
      </c>
      <c r="L34" s="8"/>
      <c r="M34" s="12">
        <f t="shared" si="72"/>
        <v>57.50404000000001</v>
      </c>
      <c r="N34" s="13">
        <f t="shared" si="73"/>
        <v>113.76112000000002</v>
      </c>
      <c r="O34" s="13">
        <f t="shared" si="74"/>
        <v>217.25880000000001</v>
      </c>
      <c r="P34" s="14">
        <f t="shared" si="75"/>
        <v>257.78500000000003</v>
      </c>
      <c r="Q34" s="8"/>
      <c r="R34" s="15">
        <f t="shared" si="76"/>
        <v>87.86272000000001</v>
      </c>
      <c r="S34" s="16">
        <f t="shared" si="77"/>
        <v>160.37824000000001</v>
      </c>
      <c r="T34" s="16">
        <f t="shared" si="78"/>
        <v>250.78284000000005</v>
      </c>
      <c r="U34" s="17">
        <f t="shared" si="79"/>
        <v>296.34484000000003</v>
      </c>
      <c r="W34" s="12" t="str">
        <f t="shared" si="80"/>
        <v>N/A</v>
      </c>
      <c r="X34" s="13" t="str">
        <f t="shared" si="81"/>
        <v>N/A</v>
      </c>
      <c r="Y34" s="13" t="str">
        <f t="shared" si="82"/>
        <v>N/A</v>
      </c>
      <c r="Z34" s="14" t="str">
        <f t="shared" si="83"/>
        <v>N/A</v>
      </c>
      <c r="AA34" s="8"/>
      <c r="AB34" s="15" t="str">
        <f t="shared" si="84"/>
        <v>N/A</v>
      </c>
      <c r="AC34" s="16" t="str">
        <f t="shared" si="85"/>
        <v>N/A</v>
      </c>
      <c r="AD34" s="16" t="str">
        <f t="shared" si="86"/>
        <v>N/A</v>
      </c>
      <c r="AE34" s="17" t="str">
        <f t="shared" si="87"/>
        <v>N/A</v>
      </c>
      <c r="AF34" s="88"/>
      <c r="AG34" s="12">
        <f t="shared" si="88"/>
        <v>105.9</v>
      </c>
      <c r="AH34" s="13">
        <f t="shared" si="88"/>
        <v>209.2</v>
      </c>
      <c r="AI34" s="13">
        <f t="shared" si="88"/>
        <v>400.2</v>
      </c>
      <c r="AJ34" s="114">
        <f t="shared" si="88"/>
        <v>474.8</v>
      </c>
      <c r="AK34" s="108"/>
      <c r="AL34" s="115">
        <f t="shared" si="89"/>
        <v>161.69999999999999</v>
      </c>
      <c r="AM34" s="16">
        <f t="shared" si="89"/>
        <v>295.10000000000002</v>
      </c>
      <c r="AN34" s="16">
        <f t="shared" si="89"/>
        <v>461.7</v>
      </c>
      <c r="AO34" s="17">
        <f t="shared" si="89"/>
        <v>545.79999999999995</v>
      </c>
      <c r="AP34" s="88"/>
    </row>
    <row r="35" spans="1:42" ht="14.45" customHeight="1" x14ac:dyDescent="0.25">
      <c r="A35" s="222"/>
      <c r="B35" s="27" t="s">
        <v>27</v>
      </c>
      <c r="C35" s="112">
        <f t="shared" si="64"/>
        <v>44.254000000000005</v>
      </c>
      <c r="D35" s="113">
        <f t="shared" si="65"/>
        <v>103.02680000000001</v>
      </c>
      <c r="E35" s="113">
        <f t="shared" si="66"/>
        <v>187.43640000000002</v>
      </c>
      <c r="F35" s="114">
        <f t="shared" si="67"/>
        <v>218.30520000000001</v>
      </c>
      <c r="G35" s="108"/>
      <c r="H35" s="115">
        <f t="shared" si="68"/>
        <v>67.492800000000003</v>
      </c>
      <c r="I35" s="116">
        <f t="shared" si="69"/>
        <v>144.27240000000003</v>
      </c>
      <c r="J35" s="116">
        <f t="shared" si="70"/>
        <v>212.55</v>
      </c>
      <c r="K35" s="117">
        <f t="shared" si="71"/>
        <v>246.29640000000003</v>
      </c>
      <c r="L35" s="8"/>
      <c r="M35" s="12">
        <f t="shared" si="72"/>
        <v>57.647920000000013</v>
      </c>
      <c r="N35" s="13">
        <f t="shared" si="73"/>
        <v>134.19208000000003</v>
      </c>
      <c r="O35" s="13">
        <f t="shared" si="74"/>
        <v>244.11640000000003</v>
      </c>
      <c r="P35" s="14">
        <f t="shared" si="75"/>
        <v>284.30688000000009</v>
      </c>
      <c r="Q35" s="8"/>
      <c r="R35" s="15">
        <f t="shared" si="76"/>
        <v>87.910680000000013</v>
      </c>
      <c r="S35" s="16">
        <f t="shared" si="77"/>
        <v>187.90728000000004</v>
      </c>
      <c r="T35" s="16">
        <f t="shared" si="78"/>
        <v>276.82512000000003</v>
      </c>
      <c r="U35" s="17">
        <f t="shared" si="79"/>
        <v>320.75648000000001</v>
      </c>
      <c r="W35" s="12" t="str">
        <f t="shared" si="80"/>
        <v>N/A</v>
      </c>
      <c r="X35" s="13" t="str">
        <f t="shared" si="81"/>
        <v>N/A</v>
      </c>
      <c r="Y35" s="13" t="str">
        <f t="shared" si="82"/>
        <v>N/A</v>
      </c>
      <c r="Z35" s="14" t="str">
        <f t="shared" si="83"/>
        <v>N/A</v>
      </c>
      <c r="AA35" s="8"/>
      <c r="AB35" s="15" t="str">
        <f t="shared" si="84"/>
        <v>N/A</v>
      </c>
      <c r="AC35" s="16" t="str">
        <f t="shared" si="85"/>
        <v>N/A</v>
      </c>
      <c r="AD35" s="16" t="str">
        <f t="shared" si="86"/>
        <v>N/A</v>
      </c>
      <c r="AE35" s="17" t="str">
        <f t="shared" si="87"/>
        <v>N/A</v>
      </c>
      <c r="AF35" s="88"/>
      <c r="AG35" s="112">
        <f t="shared" si="88"/>
        <v>105.9</v>
      </c>
      <c r="AH35" s="13">
        <f t="shared" si="88"/>
        <v>247.2</v>
      </c>
      <c r="AI35" s="13">
        <f t="shared" si="88"/>
        <v>449.5</v>
      </c>
      <c r="AJ35" s="114">
        <f t="shared" si="88"/>
        <v>523.6</v>
      </c>
      <c r="AK35" s="108"/>
      <c r="AL35" s="115">
        <f t="shared" si="89"/>
        <v>161.69999999999999</v>
      </c>
      <c r="AM35" s="16">
        <f t="shared" si="89"/>
        <v>346.1</v>
      </c>
      <c r="AN35" s="16">
        <f t="shared" si="89"/>
        <v>510.1</v>
      </c>
      <c r="AO35" s="17">
        <f t="shared" si="89"/>
        <v>590.70000000000005</v>
      </c>
      <c r="AP35" s="88"/>
    </row>
    <row r="36" spans="1:42" ht="14.45" customHeight="1" thickBot="1" x14ac:dyDescent="0.3">
      <c r="A36" s="223"/>
      <c r="B36" s="27" t="s">
        <v>29</v>
      </c>
      <c r="C36" s="112" t="str">
        <f t="shared" si="64"/>
        <v>N/A</v>
      </c>
      <c r="D36" s="113">
        <f t="shared" si="65"/>
        <v>13.734</v>
      </c>
      <c r="E36" s="113">
        <f t="shared" si="66"/>
        <v>26.508800000000001</v>
      </c>
      <c r="F36" s="114">
        <f t="shared" si="67"/>
        <v>35.752000000000002</v>
      </c>
      <c r="G36" s="108"/>
      <c r="H36" s="115" t="str">
        <f t="shared" si="68"/>
        <v>N/A</v>
      </c>
      <c r="I36" s="116">
        <f t="shared" si="69"/>
        <v>18.660800000000002</v>
      </c>
      <c r="J36" s="116">
        <f t="shared" si="70"/>
        <v>28.994000000000003</v>
      </c>
      <c r="K36" s="117">
        <f t="shared" si="71"/>
        <v>38.716800000000006</v>
      </c>
      <c r="L36" s="8"/>
      <c r="M36" s="12" t="str">
        <f t="shared" si="72"/>
        <v>N/A</v>
      </c>
      <c r="N36" s="13">
        <f t="shared" si="73"/>
        <v>17.889080000000003</v>
      </c>
      <c r="O36" s="13">
        <f t="shared" si="74"/>
        <v>34.531200000000005</v>
      </c>
      <c r="P36" s="14">
        <f t="shared" si="75"/>
        <v>46.569160000000011</v>
      </c>
      <c r="Q36" s="8"/>
      <c r="R36" s="15" t="str">
        <f t="shared" si="76"/>
        <v>N/A</v>
      </c>
      <c r="S36" s="16">
        <f t="shared" si="77"/>
        <v>24.315720000000006</v>
      </c>
      <c r="T36" s="16">
        <f t="shared" si="78"/>
        <v>37.744520000000001</v>
      </c>
      <c r="U36" s="17">
        <f t="shared" si="79"/>
        <v>50.40596</v>
      </c>
      <c r="W36" s="12" t="str">
        <f t="shared" si="80"/>
        <v>N/A</v>
      </c>
      <c r="X36" s="13" t="str">
        <f t="shared" si="81"/>
        <v>N/A</v>
      </c>
      <c r="Y36" s="13" t="str">
        <f t="shared" si="82"/>
        <v>N/A</v>
      </c>
      <c r="Z36" s="14" t="str">
        <f t="shared" si="83"/>
        <v>N/A</v>
      </c>
      <c r="AA36" s="8"/>
      <c r="AB36" s="15" t="str">
        <f t="shared" si="84"/>
        <v>N/A</v>
      </c>
      <c r="AC36" s="16" t="str">
        <f t="shared" si="85"/>
        <v>N/A</v>
      </c>
      <c r="AD36" s="16" t="str">
        <f t="shared" si="86"/>
        <v>N/A</v>
      </c>
      <c r="AE36" s="17" t="str">
        <f t="shared" si="87"/>
        <v>N/A</v>
      </c>
      <c r="AF36" s="88"/>
      <c r="AG36" s="112" t="s">
        <v>118</v>
      </c>
      <c r="AH36" s="13">
        <f>ROUNDDOWN(AH12*$C$30,1)</f>
        <v>32.700000000000003</v>
      </c>
      <c r="AI36" s="13">
        <f>ROUNDDOWN(AI12*$C$30,1)</f>
        <v>63.2</v>
      </c>
      <c r="AJ36" s="114">
        <f>ROUNDDOWN(AJ12*$C$30,1)</f>
        <v>85.4</v>
      </c>
      <c r="AK36" s="108"/>
      <c r="AL36" s="115" t="s">
        <v>118</v>
      </c>
      <c r="AM36" s="16">
        <f>ROUNDDOWN(AM12*$C$30,1)</f>
        <v>44.4</v>
      </c>
      <c r="AN36" s="16">
        <f>ROUNDDOWN(AN12*$C$30,1)</f>
        <v>69.3</v>
      </c>
      <c r="AO36" s="17">
        <f>ROUNDDOWN(AO12*$C$30,1)</f>
        <v>92.8</v>
      </c>
      <c r="AP36" s="88"/>
    </row>
    <row r="37" spans="1:42" ht="5.0999999999999996" customHeight="1" thickBot="1" x14ac:dyDescent="0.3"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W37" s="8"/>
      <c r="X37" s="8"/>
      <c r="Y37" s="8"/>
      <c r="Z37" s="8"/>
      <c r="AA37" s="8"/>
      <c r="AB37" s="8"/>
      <c r="AC37" s="8"/>
      <c r="AD37" s="8"/>
      <c r="AE37" s="8"/>
      <c r="AF37" s="89"/>
      <c r="AG37" s="108"/>
      <c r="AH37" s="108"/>
      <c r="AI37" s="108"/>
      <c r="AJ37" s="108"/>
      <c r="AK37" s="108"/>
      <c r="AL37" s="108"/>
      <c r="AM37" s="108"/>
      <c r="AN37" s="108"/>
      <c r="AO37" s="108"/>
      <c r="AP37" s="89"/>
    </row>
    <row r="38" spans="1:42" ht="15.75" thickBot="1" x14ac:dyDescent="0.3">
      <c r="B38" s="28" t="s">
        <v>119</v>
      </c>
      <c r="C38" s="29">
        <v>6.54</v>
      </c>
      <c r="D38" s="28"/>
      <c r="E38" s="28"/>
      <c r="F38" s="28"/>
      <c r="G38" s="28"/>
      <c r="H38" s="29">
        <v>6.54</v>
      </c>
      <c r="I38" s="28"/>
      <c r="J38" s="28"/>
      <c r="K38" s="28"/>
      <c r="L38" s="28"/>
      <c r="M38" s="29">
        <v>6.54</v>
      </c>
      <c r="N38" s="28"/>
      <c r="O38" s="28"/>
      <c r="P38" s="28"/>
      <c r="Q38" s="28"/>
      <c r="R38" s="29">
        <v>6.54</v>
      </c>
      <c r="T38" s="8"/>
      <c r="U38" s="8"/>
      <c r="W38" s="29">
        <v>6.54</v>
      </c>
      <c r="X38" s="28"/>
      <c r="Y38" s="28"/>
      <c r="Z38" s="28"/>
      <c r="AA38" s="28"/>
      <c r="AB38" s="29">
        <v>6.54</v>
      </c>
      <c r="AD38" s="8"/>
      <c r="AE38" s="8"/>
      <c r="AF38" s="89"/>
      <c r="AG38" s="108"/>
      <c r="AH38" s="108"/>
      <c r="AI38" s="108"/>
      <c r="AJ38" s="108"/>
      <c r="AK38" s="108"/>
      <c r="AN38" s="108"/>
      <c r="AO38" s="108"/>
      <c r="AP38" s="89"/>
    </row>
    <row r="39" spans="1:42" ht="14.45" customHeight="1" x14ac:dyDescent="0.25">
      <c r="A39" s="221" t="s">
        <v>123</v>
      </c>
      <c r="B39" s="26" t="s">
        <v>23</v>
      </c>
      <c r="C39" s="105">
        <f>IFERROR(C7*C$38,"N/A")</f>
        <v>51.796799999999998</v>
      </c>
      <c r="D39" s="106">
        <f>IFERROR(D7*C$38,"N/A")</f>
        <v>65.465400000000002</v>
      </c>
      <c r="E39" s="106">
        <f>IFERROR(E7*C$38,"N/A")</f>
        <v>137.86319999999998</v>
      </c>
      <c r="F39" s="107" t="s">
        <v>118</v>
      </c>
      <c r="G39" s="108"/>
      <c r="H39" s="109">
        <f>IFERROR(H7*H$38,"N/A")</f>
        <v>79.199399999999997</v>
      </c>
      <c r="I39" s="110">
        <f>IFERROR(I7*H$38,"N/A")</f>
        <v>107.84459999999999</v>
      </c>
      <c r="J39" s="110">
        <f>IFERROR(J7*H$38,"N/A")</f>
        <v>170.9556</v>
      </c>
      <c r="K39" s="111" t="s">
        <v>118</v>
      </c>
      <c r="L39" s="8"/>
      <c r="M39" s="5">
        <f>IFERROR(M7*M$38,"N/A")</f>
        <v>67.479720000000015</v>
      </c>
      <c r="N39" s="6">
        <f>IFERROR(N7*M$38,"N/A")</f>
        <v>85.248900000000006</v>
      </c>
      <c r="O39" s="6">
        <f>IFERROR(O7*M$38,"N/A")</f>
        <v>179.56224000000003</v>
      </c>
      <c r="P39" s="7" t="s">
        <v>118</v>
      </c>
      <c r="Q39" s="8"/>
      <c r="R39" s="9">
        <f>IFERROR(R7*R$38,"N/A")</f>
        <v>103.16196000000001</v>
      </c>
      <c r="S39" s="10">
        <f>IFERROR(S7*R$38,"N/A")</f>
        <v>140.42688000000001</v>
      </c>
      <c r="T39" s="10">
        <f>IFERROR(T7*R$38,"N/A")</f>
        <v>222.65430000000001</v>
      </c>
      <c r="U39" s="11" t="s">
        <v>118</v>
      </c>
      <c r="W39" s="5" t="str">
        <f>IFERROR(W7*W$38,"N/A")</f>
        <v>N/A</v>
      </c>
      <c r="X39" s="6" t="str">
        <f>IFERROR(X7*W$38,"N/A")</f>
        <v>N/A</v>
      </c>
      <c r="Y39" s="6" t="str">
        <f>IFERROR(Y7*W$38,"N/A")</f>
        <v>N/A</v>
      </c>
      <c r="Z39" s="7" t="s">
        <v>118</v>
      </c>
      <c r="AA39" s="8"/>
      <c r="AB39" s="9" t="str">
        <f>IFERROR(AB7*AB$38,"N/A")</f>
        <v>N/A</v>
      </c>
      <c r="AC39" s="10" t="str">
        <f>IFERROR(AC7*AB$38,"N/A")</f>
        <v>N/A</v>
      </c>
      <c r="AD39" s="10" t="str">
        <f>IFERROR(AD7*AB$38,"N/A")</f>
        <v>N/A</v>
      </c>
      <c r="AE39" s="11" t="s">
        <v>118</v>
      </c>
      <c r="AF39" s="88"/>
      <c r="AG39" s="5">
        <f>ROUNDDOWN(C39/(1-$AJ$2)*1.2,1)</f>
        <v>124.3</v>
      </c>
      <c r="AH39" s="6">
        <f>ROUNDDOWN(D39/(1-$AJ$2)*1.2,1)</f>
        <v>157.1</v>
      </c>
      <c r="AI39" s="6">
        <f>ROUNDDOWN(E39/(1-$AJ$2)*1.2,1)</f>
        <v>330.8</v>
      </c>
      <c r="AJ39" s="107" t="s">
        <v>118</v>
      </c>
      <c r="AK39" s="108"/>
      <c r="AL39" s="109">
        <f>ROUNDDOWN(H39/(1-$AJ$2)*1.2,1)</f>
        <v>190</v>
      </c>
      <c r="AM39" s="10">
        <f t="shared" ref="AM39:AM41" si="90">ROUNDDOWN(I39/(1-$AJ$2)*1.2,1)</f>
        <v>258.8</v>
      </c>
      <c r="AN39" s="10">
        <f t="shared" ref="AN39:AN41" si="91">ROUNDDOWN(J39/(1-$AJ$2)*1.2,1)</f>
        <v>410.2</v>
      </c>
      <c r="AO39" s="111" t="s">
        <v>118</v>
      </c>
      <c r="AP39" s="88"/>
    </row>
    <row r="40" spans="1:42" ht="14.45" customHeight="1" x14ac:dyDescent="0.25">
      <c r="A40" s="222"/>
      <c r="B40" s="27" t="s">
        <v>24</v>
      </c>
      <c r="C40" s="112">
        <f>IFERROR(C8*C$38,"N/A")</f>
        <v>54.412800000000004</v>
      </c>
      <c r="D40" s="113">
        <f>IFERROR(D8*C$38,"N/A")</f>
        <v>84.235200000000006</v>
      </c>
      <c r="E40" s="113">
        <f>IFERROR(E8*C$38,"N/A")</f>
        <v>165.98519999999999</v>
      </c>
      <c r="F40" s="114" t="s">
        <v>118</v>
      </c>
      <c r="G40" s="108"/>
      <c r="H40" s="115">
        <f>IFERROR(H8*H$38,"N/A")</f>
        <v>83.188800000000001</v>
      </c>
      <c r="I40" s="116">
        <f>IFERROR(I8*H$38,"N/A")</f>
        <v>129.0342</v>
      </c>
      <c r="J40" s="116">
        <f>IFERROR(J8*H$38,"N/A")</f>
        <v>190.44480000000001</v>
      </c>
      <c r="K40" s="117" t="s">
        <v>118</v>
      </c>
      <c r="L40" s="8"/>
      <c r="M40" s="12">
        <f>IFERROR(M8*M$38,"N/A")</f>
        <v>70.860900000000001</v>
      </c>
      <c r="N40" s="13">
        <f>IFERROR(N8*M$38,"N/A")</f>
        <v>109.70850000000002</v>
      </c>
      <c r="O40" s="13">
        <f>IFERROR(O8*M$38,"N/A")</f>
        <v>216.17970000000005</v>
      </c>
      <c r="P40" s="14" t="s">
        <v>118</v>
      </c>
      <c r="Q40" s="8"/>
      <c r="R40" s="15">
        <f>IFERROR(R8*R$38,"N/A")</f>
        <v>108.34164000000001</v>
      </c>
      <c r="S40" s="16">
        <f>IFERROR(S8*R$38,"N/A")</f>
        <v>168.05184</v>
      </c>
      <c r="T40" s="16">
        <f>IFERROR(T8*R$38,"N/A")</f>
        <v>248.04911999999999</v>
      </c>
      <c r="U40" s="17" t="s">
        <v>118</v>
      </c>
      <c r="W40" s="12" t="str">
        <f>IFERROR(W8*W$38,"N/A")</f>
        <v>N/A</v>
      </c>
      <c r="X40" s="13" t="str">
        <f>IFERROR(X8*W$38,"N/A")</f>
        <v>N/A</v>
      </c>
      <c r="Y40" s="13" t="str">
        <f>IFERROR(Y8*W$38,"N/A")</f>
        <v>N/A</v>
      </c>
      <c r="Z40" s="14" t="s">
        <v>118</v>
      </c>
      <c r="AA40" s="8"/>
      <c r="AB40" s="15" t="str">
        <f>IFERROR(AB8*AB$38,"N/A")</f>
        <v>N/A</v>
      </c>
      <c r="AC40" s="16" t="str">
        <f>IFERROR(AC8*AB$38,"N/A")</f>
        <v>N/A</v>
      </c>
      <c r="AD40" s="16" t="str">
        <f>IFERROR(AD8*AB$38,"N/A")</f>
        <v>N/A</v>
      </c>
      <c r="AE40" s="17" t="s">
        <v>118</v>
      </c>
      <c r="AF40" s="88"/>
      <c r="AG40" s="12">
        <f t="shared" ref="AG40:AG41" si="92">ROUNDDOWN(C40/(1-$AJ$2)*1.2,1)</f>
        <v>130.5</v>
      </c>
      <c r="AH40" s="13">
        <f t="shared" ref="AH40:AH41" si="93">ROUNDDOWN(D40/(1-$AJ$2)*1.2,1)</f>
        <v>202.1</v>
      </c>
      <c r="AI40" s="13">
        <f t="shared" ref="AI40:AI41" si="94">ROUNDDOWN(E40/(1-$AJ$2)*1.2,1)</f>
        <v>398.3</v>
      </c>
      <c r="AJ40" s="114" t="s">
        <v>118</v>
      </c>
      <c r="AK40" s="108"/>
      <c r="AL40" s="115">
        <f t="shared" ref="AL40:AL41" si="95">ROUNDDOWN(H40/(1-$AJ$2)*1.2,1)</f>
        <v>199.6</v>
      </c>
      <c r="AM40" s="16">
        <f t="shared" si="90"/>
        <v>309.60000000000002</v>
      </c>
      <c r="AN40" s="16">
        <f t="shared" si="91"/>
        <v>457</v>
      </c>
      <c r="AO40" s="117" t="s">
        <v>118</v>
      </c>
      <c r="AP40" s="88"/>
    </row>
    <row r="41" spans="1:42" ht="14.45" customHeight="1" x14ac:dyDescent="0.25">
      <c r="A41" s="222"/>
      <c r="B41" s="27" t="s">
        <v>25</v>
      </c>
      <c r="C41" s="112">
        <f>IFERROR(C9*C$38,"N/A")</f>
        <v>60.037199999999999</v>
      </c>
      <c r="D41" s="113">
        <f>IFERROR(D9*C$38,"N/A")</f>
        <v>99.1464</v>
      </c>
      <c r="E41" s="113">
        <f>IFERROR(E9*C$38,"N/A")</f>
        <v>202.5438</v>
      </c>
      <c r="F41" s="114" t="s">
        <v>118</v>
      </c>
      <c r="G41" s="108"/>
      <c r="H41" s="115">
        <f>IFERROR(H9*H$38,"N/A")</f>
        <v>91.887</v>
      </c>
      <c r="I41" s="116">
        <f>IFERROR(I9*H$38,"N/A")</f>
        <v>144.7302</v>
      </c>
      <c r="J41" s="116">
        <f>IFERROR(J9*H$38,"N/A")</f>
        <v>234.13199999999998</v>
      </c>
      <c r="K41" s="117" t="s">
        <v>118</v>
      </c>
      <c r="L41" s="8"/>
      <c r="M41" s="12">
        <f>IFERROR(M9*M$38,"N/A")</f>
        <v>78.198779999999999</v>
      </c>
      <c r="N41" s="13">
        <f>IFERROR(N9*M$38,"N/A")</f>
        <v>129.13230000000001</v>
      </c>
      <c r="O41" s="13">
        <f>IFERROR(O9*M$38,"N/A")</f>
        <v>263.80398000000002</v>
      </c>
      <c r="P41" s="14" t="s">
        <v>118</v>
      </c>
      <c r="Q41" s="8"/>
      <c r="R41" s="15">
        <f>IFERROR(R9*R$38,"N/A")</f>
        <v>119.70816000000002</v>
      </c>
      <c r="S41" s="16">
        <f>IFERROR(S9*R$38,"N/A")</f>
        <v>188.4828</v>
      </c>
      <c r="T41" s="16">
        <f>IFERROR(T9*R$38,"N/A")</f>
        <v>304.95366000000001</v>
      </c>
      <c r="U41" s="17" t="s">
        <v>118</v>
      </c>
      <c r="W41" s="12" t="str">
        <f>IFERROR(W9*W$38,"N/A")</f>
        <v>N/A</v>
      </c>
      <c r="X41" s="13" t="str">
        <f>IFERROR(X9*W$38,"N/A")</f>
        <v>N/A</v>
      </c>
      <c r="Y41" s="13" t="str">
        <f>IFERROR(Y9*W$38,"N/A")</f>
        <v>N/A</v>
      </c>
      <c r="Z41" s="14" t="s">
        <v>118</v>
      </c>
      <c r="AA41" s="8"/>
      <c r="AB41" s="15" t="str">
        <f>IFERROR(AB9*AB$38,"N/A")</f>
        <v>N/A</v>
      </c>
      <c r="AC41" s="16" t="str">
        <f>IFERROR(AC9*AB$38,"N/A")</f>
        <v>N/A</v>
      </c>
      <c r="AD41" s="16" t="str">
        <f>IFERROR(AD9*AB$38,"N/A")</f>
        <v>N/A</v>
      </c>
      <c r="AE41" s="17" t="s">
        <v>118</v>
      </c>
      <c r="AF41" s="88"/>
      <c r="AG41" s="12">
        <f t="shared" si="92"/>
        <v>144</v>
      </c>
      <c r="AH41" s="13">
        <f t="shared" si="93"/>
        <v>237.9</v>
      </c>
      <c r="AI41" s="13">
        <f t="shared" si="94"/>
        <v>486.1</v>
      </c>
      <c r="AJ41" s="114" t="s">
        <v>118</v>
      </c>
      <c r="AK41" s="108"/>
      <c r="AL41" s="115">
        <f t="shared" si="95"/>
        <v>220.5</v>
      </c>
      <c r="AM41" s="16">
        <f t="shared" si="90"/>
        <v>347.3</v>
      </c>
      <c r="AN41" s="16">
        <f t="shared" si="91"/>
        <v>561.9</v>
      </c>
      <c r="AO41" s="117" t="s">
        <v>118</v>
      </c>
      <c r="AP41" s="88"/>
    </row>
    <row r="42" spans="1:42" ht="14.45" customHeight="1" x14ac:dyDescent="0.25">
      <c r="A42" s="222"/>
      <c r="B42" s="27" t="s">
        <v>26</v>
      </c>
      <c r="C42" s="112" t="s">
        <v>118</v>
      </c>
      <c r="D42" s="113" t="s">
        <v>118</v>
      </c>
      <c r="E42" s="113" t="s">
        <v>118</v>
      </c>
      <c r="F42" s="114" t="s">
        <v>118</v>
      </c>
      <c r="G42" s="108"/>
      <c r="H42" s="115" t="s">
        <v>118</v>
      </c>
      <c r="I42" s="116" t="s">
        <v>118</v>
      </c>
      <c r="J42" s="116" t="s">
        <v>118</v>
      </c>
      <c r="K42" s="117" t="s">
        <v>118</v>
      </c>
      <c r="L42" s="8"/>
      <c r="M42" s="12" t="s">
        <v>118</v>
      </c>
      <c r="N42" s="13" t="s">
        <v>118</v>
      </c>
      <c r="O42" s="13" t="s">
        <v>118</v>
      </c>
      <c r="P42" s="14" t="s">
        <v>118</v>
      </c>
      <c r="Q42" s="8"/>
      <c r="R42" s="15" t="s">
        <v>118</v>
      </c>
      <c r="S42" s="16" t="s">
        <v>118</v>
      </c>
      <c r="T42" s="16" t="s">
        <v>118</v>
      </c>
      <c r="U42" s="17" t="s">
        <v>118</v>
      </c>
      <c r="W42" s="12" t="s">
        <v>118</v>
      </c>
      <c r="X42" s="13" t="s">
        <v>118</v>
      </c>
      <c r="Y42" s="13" t="s">
        <v>118</v>
      </c>
      <c r="Z42" s="14" t="s">
        <v>118</v>
      </c>
      <c r="AA42" s="8"/>
      <c r="AB42" s="15" t="s">
        <v>118</v>
      </c>
      <c r="AC42" s="16" t="s">
        <v>118</v>
      </c>
      <c r="AD42" s="16" t="s">
        <v>118</v>
      </c>
      <c r="AE42" s="17" t="s">
        <v>118</v>
      </c>
      <c r="AF42" s="88"/>
      <c r="AG42" s="12" t="s">
        <v>118</v>
      </c>
      <c r="AH42" s="13" t="s">
        <v>118</v>
      </c>
      <c r="AI42" s="13" t="s">
        <v>118</v>
      </c>
      <c r="AJ42" s="114" t="s">
        <v>118</v>
      </c>
      <c r="AK42" s="108"/>
      <c r="AL42" s="115" t="s">
        <v>118</v>
      </c>
      <c r="AM42" s="116" t="s">
        <v>118</v>
      </c>
      <c r="AN42" s="116" t="s">
        <v>118</v>
      </c>
      <c r="AO42" s="117" t="s">
        <v>118</v>
      </c>
      <c r="AP42" s="88"/>
    </row>
    <row r="43" spans="1:42" ht="14.45" customHeight="1" x14ac:dyDescent="0.25">
      <c r="A43" s="222"/>
      <c r="B43" s="27" t="s">
        <v>27</v>
      </c>
      <c r="C43" s="112" t="s">
        <v>118</v>
      </c>
      <c r="D43" s="113" t="s">
        <v>118</v>
      </c>
      <c r="E43" s="113" t="s">
        <v>118</v>
      </c>
      <c r="F43" s="114" t="s">
        <v>118</v>
      </c>
      <c r="G43" s="108"/>
      <c r="H43" s="115" t="s">
        <v>118</v>
      </c>
      <c r="I43" s="116" t="s">
        <v>118</v>
      </c>
      <c r="J43" s="116" t="s">
        <v>118</v>
      </c>
      <c r="K43" s="117" t="s">
        <v>118</v>
      </c>
      <c r="L43" s="8"/>
      <c r="M43" s="12" t="s">
        <v>118</v>
      </c>
      <c r="N43" s="13" t="s">
        <v>118</v>
      </c>
      <c r="O43" s="13" t="s">
        <v>118</v>
      </c>
      <c r="P43" s="14" t="s">
        <v>118</v>
      </c>
      <c r="Q43" s="8"/>
      <c r="R43" s="15" t="s">
        <v>118</v>
      </c>
      <c r="S43" s="16" t="s">
        <v>118</v>
      </c>
      <c r="T43" s="16" t="s">
        <v>118</v>
      </c>
      <c r="U43" s="17" t="s">
        <v>118</v>
      </c>
      <c r="W43" s="12" t="s">
        <v>118</v>
      </c>
      <c r="X43" s="13" t="s">
        <v>118</v>
      </c>
      <c r="Y43" s="13" t="s">
        <v>118</v>
      </c>
      <c r="Z43" s="14" t="s">
        <v>118</v>
      </c>
      <c r="AA43" s="8"/>
      <c r="AB43" s="15" t="s">
        <v>118</v>
      </c>
      <c r="AC43" s="16" t="s">
        <v>118</v>
      </c>
      <c r="AD43" s="16" t="s">
        <v>118</v>
      </c>
      <c r="AE43" s="17" t="s">
        <v>118</v>
      </c>
      <c r="AF43" s="88"/>
      <c r="AG43" s="112" t="s">
        <v>118</v>
      </c>
      <c r="AH43" s="13" t="s">
        <v>118</v>
      </c>
      <c r="AI43" s="13" t="s">
        <v>118</v>
      </c>
      <c r="AJ43" s="114" t="s">
        <v>118</v>
      </c>
      <c r="AK43" s="108"/>
      <c r="AL43" s="115" t="s">
        <v>118</v>
      </c>
      <c r="AM43" s="116" t="s">
        <v>118</v>
      </c>
      <c r="AN43" s="116" t="s">
        <v>118</v>
      </c>
      <c r="AO43" s="117" t="s">
        <v>118</v>
      </c>
      <c r="AP43" s="88"/>
    </row>
    <row r="44" spans="1:42" ht="14.45" customHeight="1" thickBot="1" x14ac:dyDescent="0.3">
      <c r="A44" s="223"/>
      <c r="B44" s="27" t="s">
        <v>29</v>
      </c>
      <c r="C44" s="112" t="str">
        <f>IFERROR(C12*C$38,"N/A")</f>
        <v>N/A</v>
      </c>
      <c r="D44" s="113" t="s">
        <v>118</v>
      </c>
      <c r="E44" s="113" t="s">
        <v>118</v>
      </c>
      <c r="F44" s="114" t="s">
        <v>118</v>
      </c>
      <c r="G44" s="108"/>
      <c r="H44" s="115" t="s">
        <v>118</v>
      </c>
      <c r="I44" s="116" t="s">
        <v>118</v>
      </c>
      <c r="J44" s="116" t="s">
        <v>118</v>
      </c>
      <c r="K44" s="117" t="s">
        <v>118</v>
      </c>
      <c r="L44" s="8"/>
      <c r="M44" s="12" t="str">
        <f>IFERROR(M12*M$38,"N/A")</f>
        <v>N/A</v>
      </c>
      <c r="N44" s="13" t="s">
        <v>118</v>
      </c>
      <c r="O44" s="13" t="s">
        <v>118</v>
      </c>
      <c r="P44" s="14" t="s">
        <v>118</v>
      </c>
      <c r="Q44" s="8"/>
      <c r="R44" s="15" t="s">
        <v>118</v>
      </c>
      <c r="S44" s="16" t="s">
        <v>118</v>
      </c>
      <c r="T44" s="16" t="s">
        <v>118</v>
      </c>
      <c r="U44" s="17" t="s">
        <v>118</v>
      </c>
      <c r="W44" s="12" t="str">
        <f>IFERROR(W12*W$38,"N/A")</f>
        <v>N/A</v>
      </c>
      <c r="X44" s="13" t="s">
        <v>118</v>
      </c>
      <c r="Y44" s="13" t="s">
        <v>118</v>
      </c>
      <c r="Z44" s="14" t="s">
        <v>118</v>
      </c>
      <c r="AA44" s="8"/>
      <c r="AB44" s="15" t="s">
        <v>118</v>
      </c>
      <c r="AC44" s="16" t="s">
        <v>118</v>
      </c>
      <c r="AD44" s="16" t="s">
        <v>118</v>
      </c>
      <c r="AE44" s="17" t="s">
        <v>118</v>
      </c>
      <c r="AF44" s="88"/>
      <c r="AG44" s="112" t="str">
        <f>IFERROR(AG12*AG$38,"N/A")</f>
        <v>N/A</v>
      </c>
      <c r="AH44" s="13" t="s">
        <v>118</v>
      </c>
      <c r="AI44" s="13" t="s">
        <v>118</v>
      </c>
      <c r="AJ44" s="114" t="s">
        <v>118</v>
      </c>
      <c r="AK44" s="108"/>
      <c r="AL44" s="115" t="s">
        <v>118</v>
      </c>
      <c r="AM44" s="116" t="s">
        <v>118</v>
      </c>
      <c r="AN44" s="116" t="s">
        <v>118</v>
      </c>
      <c r="AO44" s="117" t="s">
        <v>118</v>
      </c>
      <c r="AP44" s="88"/>
    </row>
    <row r="45" spans="1:42" ht="5.0999999999999996" customHeight="1" thickBot="1" x14ac:dyDescent="0.3"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W45" s="8"/>
      <c r="X45" s="8"/>
      <c r="Y45" s="8"/>
      <c r="Z45" s="8"/>
      <c r="AA45" s="8"/>
      <c r="AB45" s="8"/>
      <c r="AC45" s="8"/>
      <c r="AD45" s="8"/>
      <c r="AE45" s="8"/>
      <c r="AF45" s="89"/>
      <c r="AG45" s="108"/>
      <c r="AH45" s="108"/>
      <c r="AI45" s="108"/>
      <c r="AJ45" s="108"/>
      <c r="AK45" s="108"/>
      <c r="AL45" s="108"/>
      <c r="AM45" s="108"/>
      <c r="AN45" s="108"/>
      <c r="AO45" s="108"/>
      <c r="AP45" s="89"/>
    </row>
    <row r="46" spans="1:42" ht="15.75" thickBot="1" x14ac:dyDescent="0.3">
      <c r="B46" s="28" t="s">
        <v>119</v>
      </c>
      <c r="C46" s="30">
        <v>8.1750000000000007</v>
      </c>
      <c r="D46" s="28"/>
      <c r="E46" s="28"/>
      <c r="F46" s="28"/>
      <c r="G46" s="28"/>
      <c r="H46" s="30">
        <v>8.1750000000000007</v>
      </c>
      <c r="I46" s="28"/>
      <c r="J46" s="28"/>
      <c r="K46" s="28"/>
      <c r="L46" s="28"/>
      <c r="M46" s="30">
        <v>8.1750000000000007</v>
      </c>
      <c r="N46" s="28"/>
      <c r="O46" s="28"/>
      <c r="P46" s="28"/>
      <c r="Q46" s="28"/>
      <c r="R46" s="30">
        <v>8.1750000000000007</v>
      </c>
      <c r="T46" s="8"/>
      <c r="U46" s="8"/>
      <c r="W46" s="30">
        <v>8.1750000000000007</v>
      </c>
      <c r="X46" s="28"/>
      <c r="Y46" s="28"/>
      <c r="Z46" s="28"/>
      <c r="AA46" s="28"/>
      <c r="AB46" s="30">
        <v>8.1750000000000007</v>
      </c>
      <c r="AD46" s="8"/>
      <c r="AE46" s="8"/>
      <c r="AF46" s="89"/>
      <c r="AG46" s="108"/>
      <c r="AH46" s="108"/>
      <c r="AI46" s="108"/>
      <c r="AJ46" s="108"/>
      <c r="AK46" s="108"/>
      <c r="AN46" s="108"/>
      <c r="AO46" s="108"/>
      <c r="AP46" s="89"/>
    </row>
    <row r="47" spans="1:42" ht="14.45" customHeight="1" x14ac:dyDescent="0.25">
      <c r="A47" s="221" t="s">
        <v>124</v>
      </c>
      <c r="B47" s="26" t="s">
        <v>23</v>
      </c>
      <c r="C47" s="105">
        <f>IFERROR(C7*C$46,"N/A")</f>
        <v>64.746000000000009</v>
      </c>
      <c r="D47" s="106">
        <f>IFERROR(D7*C$46,"N/A")</f>
        <v>81.83175</v>
      </c>
      <c r="E47" s="106">
        <f>IFERROR(E7*C$46,"N/A")</f>
        <v>172.32900000000001</v>
      </c>
      <c r="F47" s="107" t="s">
        <v>118</v>
      </c>
      <c r="G47" s="108"/>
      <c r="H47" s="109">
        <f>IFERROR(H7*H$46,"N/A")</f>
        <v>98.999250000000004</v>
      </c>
      <c r="I47" s="110">
        <f>IFERROR(I7*H$46,"N/A")</f>
        <v>134.80574999999999</v>
      </c>
      <c r="J47" s="110">
        <f>IFERROR(J7*H$46,"N/A")</f>
        <v>213.69450000000003</v>
      </c>
      <c r="K47" s="11" t="s">
        <v>118</v>
      </c>
      <c r="L47" s="8"/>
      <c r="M47" s="5">
        <f>IFERROR(M7*M$46,"N/A")</f>
        <v>84.349650000000025</v>
      </c>
      <c r="N47" s="6">
        <f>IFERROR(N7*M$46,"N/A")</f>
        <v>106.561125</v>
      </c>
      <c r="O47" s="6">
        <f>IFERROR(O7*M$46,"N/A")</f>
        <v>224.45280000000005</v>
      </c>
      <c r="P47" s="7" t="s">
        <v>118</v>
      </c>
      <c r="Q47" s="8"/>
      <c r="R47" s="9">
        <f>IFERROR(R7*R$46,"N/A")</f>
        <v>128.95245000000003</v>
      </c>
      <c r="S47" s="10">
        <f>IFERROR(S7*R$46,"N/A")</f>
        <v>175.53360000000004</v>
      </c>
      <c r="T47" s="10">
        <f>IFERROR(T7*R$46,"N/A")</f>
        <v>278.31787500000002</v>
      </c>
      <c r="U47" s="11" t="s">
        <v>118</v>
      </c>
      <c r="W47" s="5" t="str">
        <f>IFERROR(W7*W$46,"N/A")</f>
        <v>N/A</v>
      </c>
      <c r="X47" s="6" t="str">
        <f>IFERROR(X7*W$46,"N/A")</f>
        <v>N/A</v>
      </c>
      <c r="Y47" s="6" t="str">
        <f>IFERROR(Y7*W$46,"N/A")</f>
        <v>N/A</v>
      </c>
      <c r="Z47" s="7" t="s">
        <v>118</v>
      </c>
      <c r="AA47" s="8"/>
      <c r="AB47" s="9" t="str">
        <f>IFERROR(AB7*AB$46,"N/A")</f>
        <v>N/A</v>
      </c>
      <c r="AC47" s="10" t="str">
        <f>IFERROR(AC7*AB$46,"N/A")</f>
        <v>N/A</v>
      </c>
      <c r="AD47" s="10" t="str">
        <f>IFERROR(AD7*AB$46,"N/A")</f>
        <v>N/A</v>
      </c>
      <c r="AE47" s="11" t="s">
        <v>118</v>
      </c>
      <c r="AF47" s="88"/>
      <c r="AG47" s="5">
        <f>ROUNDDOWN(C47/(1-$AJ$2)*1.2,1)</f>
        <v>155.30000000000001</v>
      </c>
      <c r="AH47" s="6">
        <f>ROUNDDOWN(D47/(1-$AJ$2)*1.2,1)</f>
        <v>196.3</v>
      </c>
      <c r="AI47" s="6">
        <f>ROUNDDOWN(E47/(1-$AJ$2)*1.2,1)</f>
        <v>413.5</v>
      </c>
      <c r="AJ47" s="107" t="s">
        <v>118</v>
      </c>
      <c r="AK47" s="108"/>
      <c r="AL47" s="109">
        <f>ROUNDDOWN(H47/(1-$AJ$2)*1.2,1)</f>
        <v>237.5</v>
      </c>
      <c r="AM47" s="10">
        <f t="shared" ref="AM47:AM49" si="96">ROUNDDOWN(I47/(1-$AJ$2)*1.2,1)</f>
        <v>323.5</v>
      </c>
      <c r="AN47" s="10">
        <f t="shared" ref="AN47:AN49" si="97">ROUNDDOWN(J47/(1-$AJ$2)*1.2,1)</f>
        <v>512.79999999999995</v>
      </c>
      <c r="AO47" s="111" t="s">
        <v>118</v>
      </c>
      <c r="AP47" s="88"/>
    </row>
    <row r="48" spans="1:42" ht="14.45" customHeight="1" x14ac:dyDescent="0.25">
      <c r="A48" s="222"/>
      <c r="B48" s="27" t="s">
        <v>24</v>
      </c>
      <c r="C48" s="112">
        <f>IFERROR(C8*C$46,"N/A")</f>
        <v>68.016000000000005</v>
      </c>
      <c r="D48" s="113">
        <f>IFERROR(D8*C$46,"N/A")</f>
        <v>105.29400000000001</v>
      </c>
      <c r="E48" s="113">
        <f>IFERROR(E8*C$46,"N/A")</f>
        <v>207.48150000000001</v>
      </c>
      <c r="F48" s="114" t="s">
        <v>118</v>
      </c>
      <c r="G48" s="108"/>
      <c r="H48" s="115">
        <f>IFERROR(H8*H$46,"N/A")</f>
        <v>103.98600000000002</v>
      </c>
      <c r="I48" s="116">
        <f>IFERROR(I8*H$46,"N/A")</f>
        <v>161.29275000000001</v>
      </c>
      <c r="J48" s="116">
        <f>IFERROR(J8*H$46,"N/A")</f>
        <v>238.05600000000004</v>
      </c>
      <c r="K48" s="17" t="s">
        <v>118</v>
      </c>
      <c r="L48" s="8"/>
      <c r="M48" s="12">
        <f>IFERROR(M8*M$46,"N/A")</f>
        <v>88.576125000000019</v>
      </c>
      <c r="N48" s="13">
        <f>IFERROR(N8*M$46,"N/A")</f>
        <v>137.13562500000003</v>
      </c>
      <c r="O48" s="13">
        <f>IFERROR(O8*M$46,"N/A")</f>
        <v>270.22462500000006</v>
      </c>
      <c r="P48" s="14" t="s">
        <v>118</v>
      </c>
      <c r="Q48" s="8"/>
      <c r="R48" s="15">
        <f>IFERROR(R8*R$46,"N/A")</f>
        <v>135.42705000000004</v>
      </c>
      <c r="S48" s="16">
        <f>IFERROR(S8*R$46,"N/A")</f>
        <v>210.06480000000002</v>
      </c>
      <c r="T48" s="16">
        <f>IFERROR(T8*R$46,"N/A")</f>
        <v>310.06139999999999</v>
      </c>
      <c r="U48" s="17" t="s">
        <v>118</v>
      </c>
      <c r="W48" s="12" t="str">
        <f>IFERROR(W8*W$46,"N/A")</f>
        <v>N/A</v>
      </c>
      <c r="X48" s="13" t="str">
        <f>IFERROR(X8*W$46,"N/A")</f>
        <v>N/A</v>
      </c>
      <c r="Y48" s="13" t="str">
        <f>IFERROR(Y8*W$46,"N/A")</f>
        <v>N/A</v>
      </c>
      <c r="Z48" s="14" t="s">
        <v>118</v>
      </c>
      <c r="AA48" s="8"/>
      <c r="AB48" s="15" t="str">
        <f>IFERROR(AB8*AB$46,"N/A")</f>
        <v>N/A</v>
      </c>
      <c r="AC48" s="16" t="str">
        <f>IFERROR(AC8*AB$46,"N/A")</f>
        <v>N/A</v>
      </c>
      <c r="AD48" s="16" t="str">
        <f>IFERROR(AD8*AB$46,"N/A")</f>
        <v>N/A</v>
      </c>
      <c r="AE48" s="17" t="s">
        <v>118</v>
      </c>
      <c r="AF48" s="88"/>
      <c r="AG48" s="12">
        <f t="shared" ref="AG48:AG49" si="98">ROUNDDOWN(C48/(1-$AJ$2)*1.2,1)</f>
        <v>163.19999999999999</v>
      </c>
      <c r="AH48" s="13">
        <f t="shared" ref="AH48:AH49" si="99">ROUNDDOWN(D48/(1-$AJ$2)*1.2,1)</f>
        <v>252.7</v>
      </c>
      <c r="AI48" s="13">
        <f t="shared" ref="AI48:AI49" si="100">ROUNDDOWN(E48/(1-$AJ$2)*1.2,1)</f>
        <v>497.9</v>
      </c>
      <c r="AJ48" s="114" t="s">
        <v>118</v>
      </c>
      <c r="AK48" s="108"/>
      <c r="AL48" s="115">
        <f t="shared" ref="AL48:AL49" si="101">ROUNDDOWN(H48/(1-$AJ$2)*1.2,1)</f>
        <v>249.5</v>
      </c>
      <c r="AM48" s="16">
        <f t="shared" si="96"/>
        <v>387.1</v>
      </c>
      <c r="AN48" s="16">
        <f t="shared" si="97"/>
        <v>571.29999999999995</v>
      </c>
      <c r="AO48" s="117" t="s">
        <v>118</v>
      </c>
      <c r="AP48" s="88"/>
    </row>
    <row r="49" spans="1:42" ht="14.45" customHeight="1" x14ac:dyDescent="0.25">
      <c r="A49" s="222"/>
      <c r="B49" s="27" t="s">
        <v>25</v>
      </c>
      <c r="C49" s="112">
        <f>IFERROR(C9*C$46,"N/A")</f>
        <v>75.046500000000009</v>
      </c>
      <c r="D49" s="113">
        <f>IFERROR(D9*C$46,"N/A")</f>
        <v>123.93300000000001</v>
      </c>
      <c r="E49" s="113">
        <f>IFERROR(E9*C$46,"N/A")</f>
        <v>253.17975000000001</v>
      </c>
      <c r="F49" s="114" t="s">
        <v>118</v>
      </c>
      <c r="G49" s="108"/>
      <c r="H49" s="115">
        <f>IFERROR(H9*H$46,"N/A")</f>
        <v>114.85875000000001</v>
      </c>
      <c r="I49" s="116">
        <f>IFERROR(I9*H$46,"N/A")</f>
        <v>180.91275000000002</v>
      </c>
      <c r="J49" s="116">
        <f>IFERROR(J9*H$46,"N/A")</f>
        <v>292.66500000000002</v>
      </c>
      <c r="K49" s="17" t="s">
        <v>118</v>
      </c>
      <c r="L49" s="8"/>
      <c r="M49" s="12">
        <f>IFERROR(M9*M$46,"N/A")</f>
        <v>97.748475000000013</v>
      </c>
      <c r="N49" s="13">
        <f>IFERROR(N9*M$46,"N/A")</f>
        <v>161.41537500000001</v>
      </c>
      <c r="O49" s="13">
        <f>IFERROR(O9*M$46,"N/A")</f>
        <v>329.75497500000006</v>
      </c>
      <c r="P49" s="14" t="s">
        <v>118</v>
      </c>
      <c r="Q49" s="8"/>
      <c r="R49" s="15">
        <f>IFERROR(R9*R$46,"N/A")</f>
        <v>149.63520000000003</v>
      </c>
      <c r="S49" s="16">
        <f>IFERROR(S9*R$46,"N/A")</f>
        <v>235.60350000000003</v>
      </c>
      <c r="T49" s="16">
        <f>IFERROR(T9*R$46,"N/A")</f>
        <v>381.19207500000005</v>
      </c>
      <c r="U49" s="17" t="s">
        <v>118</v>
      </c>
      <c r="W49" s="12" t="str">
        <f>IFERROR(W9*W$46,"N/A")</f>
        <v>N/A</v>
      </c>
      <c r="X49" s="13" t="str">
        <f>IFERROR(X9*W$46,"N/A")</f>
        <v>N/A</v>
      </c>
      <c r="Y49" s="13" t="str">
        <f>IFERROR(Y9*W$46,"N/A")</f>
        <v>N/A</v>
      </c>
      <c r="Z49" s="14" t="s">
        <v>118</v>
      </c>
      <c r="AA49" s="8"/>
      <c r="AB49" s="15" t="str">
        <f>IFERROR(AB9*AB$46,"N/A")</f>
        <v>N/A</v>
      </c>
      <c r="AC49" s="16" t="str">
        <f>IFERROR(AC9*AB$46,"N/A")</f>
        <v>N/A</v>
      </c>
      <c r="AD49" s="16" t="str">
        <f>IFERROR(AD9*AB$46,"N/A")</f>
        <v>N/A</v>
      </c>
      <c r="AE49" s="17" t="s">
        <v>118</v>
      </c>
      <c r="AF49" s="88"/>
      <c r="AG49" s="12">
        <f t="shared" si="98"/>
        <v>180.1</v>
      </c>
      <c r="AH49" s="13">
        <f t="shared" si="99"/>
        <v>297.39999999999998</v>
      </c>
      <c r="AI49" s="13">
        <f t="shared" si="100"/>
        <v>607.6</v>
      </c>
      <c r="AJ49" s="114" t="s">
        <v>118</v>
      </c>
      <c r="AK49" s="108"/>
      <c r="AL49" s="115">
        <f t="shared" si="101"/>
        <v>275.60000000000002</v>
      </c>
      <c r="AM49" s="16">
        <f t="shared" si="96"/>
        <v>434.1</v>
      </c>
      <c r="AN49" s="16">
        <f t="shared" si="97"/>
        <v>702.3</v>
      </c>
      <c r="AO49" s="117" t="s">
        <v>118</v>
      </c>
      <c r="AP49" s="88"/>
    </row>
    <row r="50" spans="1:42" ht="14.45" customHeight="1" x14ac:dyDescent="0.25">
      <c r="A50" s="222"/>
      <c r="B50" s="27" t="s">
        <v>26</v>
      </c>
      <c r="C50" s="12" t="s">
        <v>118</v>
      </c>
      <c r="D50" s="13" t="s">
        <v>118</v>
      </c>
      <c r="E50" s="13" t="s">
        <v>118</v>
      </c>
      <c r="F50" s="14" t="s">
        <v>118</v>
      </c>
      <c r="G50" s="8"/>
      <c r="H50" s="15" t="s">
        <v>118</v>
      </c>
      <c r="I50" s="16" t="s">
        <v>118</v>
      </c>
      <c r="J50" s="16" t="s">
        <v>118</v>
      </c>
      <c r="K50" s="17" t="s">
        <v>118</v>
      </c>
      <c r="L50" s="8"/>
      <c r="M50" s="12" t="s">
        <v>118</v>
      </c>
      <c r="N50" s="13" t="s">
        <v>118</v>
      </c>
      <c r="O50" s="13" t="s">
        <v>118</v>
      </c>
      <c r="P50" s="14" t="s">
        <v>118</v>
      </c>
      <c r="Q50" s="8"/>
      <c r="R50" s="15" t="s">
        <v>118</v>
      </c>
      <c r="S50" s="16" t="s">
        <v>118</v>
      </c>
      <c r="T50" s="16" t="s">
        <v>118</v>
      </c>
      <c r="U50" s="17" t="s">
        <v>118</v>
      </c>
      <c r="W50" s="12" t="s">
        <v>118</v>
      </c>
      <c r="X50" s="13" t="s">
        <v>118</v>
      </c>
      <c r="Y50" s="13" t="s">
        <v>118</v>
      </c>
      <c r="Z50" s="14" t="s">
        <v>118</v>
      </c>
      <c r="AA50" s="8"/>
      <c r="AB50" s="15" t="s">
        <v>118</v>
      </c>
      <c r="AC50" s="16" t="s">
        <v>118</v>
      </c>
      <c r="AD50" s="16" t="s">
        <v>118</v>
      </c>
      <c r="AE50" s="17" t="s">
        <v>118</v>
      </c>
      <c r="AF50" s="88"/>
      <c r="AG50" s="112" t="s">
        <v>118</v>
      </c>
      <c r="AH50" s="113" t="s">
        <v>118</v>
      </c>
      <c r="AI50" s="113" t="s">
        <v>118</v>
      </c>
      <c r="AJ50" s="114" t="s">
        <v>118</v>
      </c>
      <c r="AK50" s="108"/>
      <c r="AL50" s="15" t="s">
        <v>118</v>
      </c>
      <c r="AM50" s="116" t="s">
        <v>118</v>
      </c>
      <c r="AN50" s="116" t="s">
        <v>118</v>
      </c>
      <c r="AO50" s="117" t="s">
        <v>118</v>
      </c>
      <c r="AP50" s="88"/>
    </row>
    <row r="51" spans="1:42" ht="14.45" customHeight="1" x14ac:dyDescent="0.25">
      <c r="A51" s="222"/>
      <c r="B51" s="27" t="s">
        <v>27</v>
      </c>
      <c r="C51" s="12" t="s">
        <v>118</v>
      </c>
      <c r="D51" s="13" t="s">
        <v>118</v>
      </c>
      <c r="E51" s="13" t="s">
        <v>118</v>
      </c>
      <c r="F51" s="14" t="s">
        <v>118</v>
      </c>
      <c r="G51" s="8"/>
      <c r="H51" s="15" t="s">
        <v>118</v>
      </c>
      <c r="I51" s="16" t="s">
        <v>118</v>
      </c>
      <c r="J51" s="16" t="s">
        <v>118</v>
      </c>
      <c r="K51" s="17" t="s">
        <v>118</v>
      </c>
      <c r="L51" s="8"/>
      <c r="M51" s="12" t="s">
        <v>118</v>
      </c>
      <c r="N51" s="13" t="s">
        <v>118</v>
      </c>
      <c r="O51" s="13" t="s">
        <v>118</v>
      </c>
      <c r="P51" s="14" t="s">
        <v>118</v>
      </c>
      <c r="Q51" s="8"/>
      <c r="R51" s="15" t="s">
        <v>118</v>
      </c>
      <c r="S51" s="16" t="s">
        <v>118</v>
      </c>
      <c r="T51" s="16" t="s">
        <v>118</v>
      </c>
      <c r="U51" s="17" t="s">
        <v>118</v>
      </c>
      <c r="W51" s="12" t="s">
        <v>118</v>
      </c>
      <c r="X51" s="13" t="s">
        <v>118</v>
      </c>
      <c r="Y51" s="13" t="s">
        <v>118</v>
      </c>
      <c r="Z51" s="14" t="s">
        <v>118</v>
      </c>
      <c r="AA51" s="8"/>
      <c r="AB51" s="15" t="s">
        <v>118</v>
      </c>
      <c r="AC51" s="16" t="s">
        <v>118</v>
      </c>
      <c r="AD51" s="16" t="s">
        <v>118</v>
      </c>
      <c r="AE51" s="17" t="s">
        <v>118</v>
      </c>
      <c r="AF51" s="88"/>
      <c r="AG51" s="112" t="s">
        <v>118</v>
      </c>
      <c r="AH51" s="113" t="s">
        <v>118</v>
      </c>
      <c r="AI51" s="113" t="s">
        <v>118</v>
      </c>
      <c r="AJ51" s="114" t="s">
        <v>118</v>
      </c>
      <c r="AK51" s="108"/>
      <c r="AL51" s="115" t="s">
        <v>118</v>
      </c>
      <c r="AM51" s="116" t="s">
        <v>118</v>
      </c>
      <c r="AN51" s="116" t="s">
        <v>118</v>
      </c>
      <c r="AO51" s="117" t="s">
        <v>118</v>
      </c>
      <c r="AP51" s="88"/>
    </row>
    <row r="52" spans="1:42" ht="14.45" customHeight="1" thickBot="1" x14ac:dyDescent="0.3">
      <c r="A52" s="223"/>
      <c r="B52" s="27" t="s">
        <v>29</v>
      </c>
      <c r="C52" s="12" t="str">
        <f>IFERROR(C20*C$38,"N/A")</f>
        <v>N/A</v>
      </c>
      <c r="D52" s="13" t="s">
        <v>118</v>
      </c>
      <c r="E52" s="13" t="s">
        <v>118</v>
      </c>
      <c r="F52" s="14" t="s">
        <v>118</v>
      </c>
      <c r="G52" s="8"/>
      <c r="H52" s="15" t="s">
        <v>118</v>
      </c>
      <c r="I52" s="16" t="s">
        <v>118</v>
      </c>
      <c r="J52" s="16" t="s">
        <v>118</v>
      </c>
      <c r="K52" s="17" t="s">
        <v>118</v>
      </c>
      <c r="L52" s="8"/>
      <c r="M52" s="12" t="str">
        <f>IFERROR(M20*M$38,"N/A")</f>
        <v>N/A</v>
      </c>
      <c r="N52" s="13" t="s">
        <v>118</v>
      </c>
      <c r="O52" s="13" t="s">
        <v>118</v>
      </c>
      <c r="P52" s="14" t="s">
        <v>118</v>
      </c>
      <c r="Q52" s="8"/>
      <c r="R52" s="15" t="s">
        <v>118</v>
      </c>
      <c r="S52" s="16" t="s">
        <v>118</v>
      </c>
      <c r="T52" s="16" t="s">
        <v>118</v>
      </c>
      <c r="U52" s="17" t="s">
        <v>118</v>
      </c>
      <c r="W52" s="12" t="str">
        <f>IFERROR(W20*W$38,"N/A")</f>
        <v>N/A</v>
      </c>
      <c r="X52" s="13" t="s">
        <v>118</v>
      </c>
      <c r="Y52" s="13" t="s">
        <v>118</v>
      </c>
      <c r="Z52" s="14" t="s">
        <v>118</v>
      </c>
      <c r="AA52" s="8"/>
      <c r="AB52" s="15" t="s">
        <v>118</v>
      </c>
      <c r="AC52" s="16" t="s">
        <v>118</v>
      </c>
      <c r="AD52" s="16" t="s">
        <v>118</v>
      </c>
      <c r="AE52" s="17" t="s">
        <v>118</v>
      </c>
      <c r="AF52" s="88"/>
      <c r="AG52" s="112" t="str">
        <f>IFERROR(AG20*AG$38,"N/A")</f>
        <v>N/A</v>
      </c>
      <c r="AH52" s="113" t="s">
        <v>118</v>
      </c>
      <c r="AI52" s="113" t="s">
        <v>118</v>
      </c>
      <c r="AJ52" s="114" t="s">
        <v>118</v>
      </c>
      <c r="AK52" s="108"/>
      <c r="AL52" s="115" t="s">
        <v>118</v>
      </c>
      <c r="AM52" s="116" t="s">
        <v>118</v>
      </c>
      <c r="AN52" s="116" t="s">
        <v>118</v>
      </c>
      <c r="AO52" s="117" t="s">
        <v>118</v>
      </c>
      <c r="AP52" s="88"/>
    </row>
  </sheetData>
  <mergeCells count="21">
    <mergeCell ref="A47:A52"/>
    <mergeCell ref="C1:K1"/>
    <mergeCell ref="M1:U1"/>
    <mergeCell ref="AR2:BB2"/>
    <mergeCell ref="C3:F3"/>
    <mergeCell ref="H3:K3"/>
    <mergeCell ref="M3:P3"/>
    <mergeCell ref="R3:U3"/>
    <mergeCell ref="AS3:AV3"/>
    <mergeCell ref="AW3:AZ3"/>
    <mergeCell ref="A7:A12"/>
    <mergeCell ref="A15:A20"/>
    <mergeCell ref="A23:A28"/>
    <mergeCell ref="A31:A36"/>
    <mergeCell ref="A39:A44"/>
    <mergeCell ref="W1:AE1"/>
    <mergeCell ref="W3:Z3"/>
    <mergeCell ref="AB3:AE3"/>
    <mergeCell ref="AG1:AO1"/>
    <mergeCell ref="AG3:AJ3"/>
    <mergeCell ref="AL3:AO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2CA08-2D23-4002-834F-9887F83AAF14}">
  <sheetPr>
    <tabColor rgb="FFFFC000"/>
  </sheetPr>
  <dimension ref="A1:BE54"/>
  <sheetViews>
    <sheetView zoomScale="85" zoomScaleNormal="8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3" sqref="B3"/>
    </sheetView>
  </sheetViews>
  <sheetFormatPr defaultColWidth="8.85546875" defaultRowHeight="15" x14ac:dyDescent="0.25"/>
  <cols>
    <col min="1" max="1" width="27" style="1" customWidth="1"/>
    <col min="2" max="2" width="8.85546875" style="1" customWidth="1"/>
    <col min="3" max="3" width="32.140625" style="1" customWidth="1"/>
    <col min="4" max="5" width="10" style="1" customWidth="1"/>
    <col min="6" max="6" width="3.7109375" style="1" customWidth="1"/>
    <col min="7" max="8" width="9.7109375" style="1" customWidth="1"/>
    <col min="9" max="9" width="3.7109375" style="1" customWidth="1"/>
    <col min="10" max="11" width="9.7109375" style="1" customWidth="1"/>
    <col min="12" max="12" width="3.7109375" style="1" customWidth="1"/>
    <col min="13" max="13" width="13" style="1" customWidth="1"/>
    <col min="14" max="14" width="11.85546875" style="1" bestFit="1" customWidth="1"/>
    <col min="15" max="15" width="3.7109375" style="1" customWidth="1"/>
    <col min="16" max="17" width="9.7109375" style="1" customWidth="1"/>
    <col min="18" max="18" width="3.7109375" style="1" customWidth="1"/>
    <col min="19" max="20" width="9.7109375" style="1" customWidth="1"/>
    <col min="21" max="21" width="5.140625" style="1" customWidth="1"/>
    <col min="22" max="22" width="12.42578125" style="1" customWidth="1"/>
    <col min="23" max="23" width="11.85546875" style="1" customWidth="1"/>
    <col min="24" max="24" width="6.140625" style="1" customWidth="1"/>
    <col min="25" max="25" width="12.42578125" style="1" customWidth="1"/>
    <col min="26" max="26" width="11.85546875" style="1" customWidth="1"/>
    <col min="27" max="27" width="3.7109375" style="1" customWidth="1"/>
    <col min="28" max="29" width="9.7109375" style="1" customWidth="1"/>
    <col min="30" max="30" width="3.7109375" style="1" customWidth="1"/>
    <col min="31" max="32" width="9.7109375" style="1" customWidth="1"/>
    <col min="33" max="33" width="3.7109375" style="1" customWidth="1"/>
    <col min="34" max="35" width="9.7109375" style="1" customWidth="1"/>
    <col min="36" max="36" width="3.7109375" style="1" customWidth="1"/>
    <col min="37" max="38" width="9.7109375" style="1" customWidth="1"/>
    <col min="39" max="39" width="3.7109375" style="1" customWidth="1"/>
    <col min="40" max="41" width="9.7109375" style="1" customWidth="1"/>
    <col min="42" max="42" width="3.7109375" style="1" customWidth="1"/>
    <col min="43" max="44" width="9.7109375" style="1" customWidth="1"/>
    <col min="45" max="45" width="3.7109375" style="1" customWidth="1"/>
    <col min="46" max="47" width="9.7109375" style="1" customWidth="1"/>
    <col min="48" max="48" width="3.7109375" style="1" customWidth="1"/>
    <col min="49" max="50" width="9.7109375" style="1" customWidth="1"/>
    <col min="51" max="51" width="3.7109375" style="1" customWidth="1"/>
    <col min="52" max="53" width="9.7109375" style="1" customWidth="1"/>
    <col min="54" max="54" width="3.7109375" style="1" customWidth="1"/>
    <col min="55" max="55" width="11.85546875" style="1" customWidth="1"/>
    <col min="56" max="56" width="10.42578125" style="1" customWidth="1"/>
    <col min="57" max="57" width="8.140625" style="1" customWidth="1"/>
    <col min="58" max="16384" width="8.85546875" style="1"/>
  </cols>
  <sheetData>
    <row r="1" spans="1:57" ht="15" customHeight="1" thickBot="1" x14ac:dyDescent="0.3">
      <c r="A1" s="201" t="s">
        <v>198</v>
      </c>
      <c r="B1" s="202"/>
      <c r="C1" s="171" t="s">
        <v>0</v>
      </c>
      <c r="D1" s="163">
        <v>0.09</v>
      </c>
      <c r="E1" s="163">
        <v>0.17499999999999999</v>
      </c>
      <c r="F1" s="18"/>
      <c r="G1" s="194">
        <v>0.1</v>
      </c>
      <c r="H1" s="170" t="s">
        <v>1</v>
      </c>
      <c r="I1" s="18"/>
      <c r="J1" s="18"/>
      <c r="K1" s="18"/>
      <c r="L1" s="18"/>
      <c r="M1" s="92">
        <v>0.1</v>
      </c>
      <c r="N1" s="18"/>
      <c r="O1" s="18"/>
      <c r="P1" s="18"/>
      <c r="Q1" s="18"/>
      <c r="R1" s="18"/>
      <c r="S1" s="18"/>
      <c r="T1" s="18"/>
      <c r="U1" s="18"/>
      <c r="V1" s="92"/>
      <c r="W1" s="18"/>
      <c r="X1" s="92"/>
      <c r="Y1" s="91">
        <v>0.5</v>
      </c>
      <c r="Z1" s="18"/>
      <c r="AL1" s="83">
        <v>0.1</v>
      </c>
    </row>
    <row r="2" spans="1:57" ht="48" customHeight="1" x14ac:dyDescent="0.25">
      <c r="A2" s="4" t="s">
        <v>214</v>
      </c>
      <c r="D2" s="244" t="s">
        <v>128</v>
      </c>
      <c r="E2" s="244"/>
      <c r="F2" s="95"/>
      <c r="G2" s="245" t="s">
        <v>3</v>
      </c>
      <c r="H2" s="245"/>
      <c r="I2" s="18"/>
      <c r="J2" s="245" t="s">
        <v>4</v>
      </c>
      <c r="K2" s="245"/>
      <c r="L2" s="18"/>
      <c r="M2" s="219" t="s">
        <v>5</v>
      </c>
      <c r="N2" s="219"/>
      <c r="O2" s="18"/>
      <c r="P2" s="219" t="s">
        <v>6</v>
      </c>
      <c r="Q2" s="219"/>
      <c r="R2" s="18"/>
      <c r="S2" s="219" t="s">
        <v>7</v>
      </c>
      <c r="T2" s="219"/>
      <c r="U2" s="18"/>
      <c r="V2" s="214" t="s">
        <v>8</v>
      </c>
      <c r="W2" s="214"/>
      <c r="X2" s="52"/>
      <c r="Y2" s="211" t="s">
        <v>9</v>
      </c>
      <c r="Z2" s="211"/>
      <c r="AB2" s="215" t="s">
        <v>10</v>
      </c>
      <c r="AC2" s="215"/>
      <c r="AE2" s="211" t="s">
        <v>11</v>
      </c>
      <c r="AF2" s="211"/>
      <c r="AH2" s="211" t="s">
        <v>12</v>
      </c>
      <c r="AI2" s="211"/>
      <c r="AK2" s="211" t="s">
        <v>13</v>
      </c>
      <c r="AL2" s="211"/>
      <c r="AN2" s="211" t="s">
        <v>14</v>
      </c>
      <c r="AO2" s="211"/>
      <c r="AQ2" s="212" t="s">
        <v>15</v>
      </c>
      <c r="AR2" s="212"/>
      <c r="AT2" s="211" t="s">
        <v>16</v>
      </c>
      <c r="AU2" s="211"/>
      <c r="AW2" s="213" t="s">
        <v>17</v>
      </c>
      <c r="AX2" s="213"/>
      <c r="AZ2" s="213" t="s">
        <v>18</v>
      </c>
      <c r="BA2" s="213"/>
      <c r="BC2" s="213" t="s">
        <v>129</v>
      </c>
      <c r="BD2" s="213"/>
    </row>
    <row r="3" spans="1:57" s="52" customFormat="1" ht="60" customHeight="1" thickBot="1" x14ac:dyDescent="0.3">
      <c r="A3" s="97"/>
      <c r="B3" s="251" t="s">
        <v>213</v>
      </c>
      <c r="D3" s="195" t="s">
        <v>130</v>
      </c>
      <c r="E3" s="147" t="s">
        <v>131</v>
      </c>
      <c r="F3" s="35"/>
      <c r="G3" s="151" t="s">
        <v>130</v>
      </c>
      <c r="H3" s="152" t="s">
        <v>131</v>
      </c>
      <c r="J3" s="151" t="s">
        <v>130</v>
      </c>
      <c r="K3" s="152" t="s">
        <v>131</v>
      </c>
      <c r="M3" s="132" t="s">
        <v>130</v>
      </c>
      <c r="N3" s="133" t="s">
        <v>131</v>
      </c>
      <c r="P3" s="132" t="s">
        <v>130</v>
      </c>
      <c r="Q3" s="133" t="s">
        <v>131</v>
      </c>
      <c r="S3" s="132" t="s">
        <v>130</v>
      </c>
      <c r="T3" s="133" t="s">
        <v>131</v>
      </c>
      <c r="V3" s="96" t="s">
        <v>130</v>
      </c>
      <c r="W3" s="95" t="s">
        <v>131</v>
      </c>
      <c r="Y3" s="96" t="s">
        <v>130</v>
      </c>
      <c r="Z3" s="95" t="s">
        <v>131</v>
      </c>
      <c r="AB3" s="96" t="s">
        <v>130</v>
      </c>
      <c r="AC3" s="95" t="s">
        <v>131</v>
      </c>
      <c r="AE3" s="96" t="s">
        <v>130</v>
      </c>
      <c r="AF3" s="95" t="s">
        <v>131</v>
      </c>
      <c r="AG3" s="34"/>
      <c r="AH3" s="96" t="s">
        <v>130</v>
      </c>
      <c r="AI3" s="95" t="s">
        <v>131</v>
      </c>
      <c r="AK3" s="128" t="s">
        <v>130</v>
      </c>
      <c r="AL3" s="129" t="s">
        <v>131</v>
      </c>
      <c r="AN3" s="96" t="s">
        <v>130</v>
      </c>
      <c r="AO3" s="95" t="s">
        <v>131</v>
      </c>
      <c r="AQ3" s="196" t="s">
        <v>130</v>
      </c>
      <c r="AR3" s="142" t="s">
        <v>131</v>
      </c>
      <c r="AT3" s="197" t="s">
        <v>130</v>
      </c>
      <c r="AU3" s="129" t="s">
        <v>131</v>
      </c>
      <c r="AW3" s="96" t="s">
        <v>130</v>
      </c>
      <c r="AX3" s="95" t="s">
        <v>131</v>
      </c>
      <c r="AZ3" s="96" t="s">
        <v>130</v>
      </c>
      <c r="BA3" s="95" t="s">
        <v>131</v>
      </c>
      <c r="BC3" s="139" t="s">
        <v>130</v>
      </c>
      <c r="BD3" s="95" t="s">
        <v>131</v>
      </c>
    </row>
    <row r="4" spans="1:57" ht="15.75" thickBot="1" x14ac:dyDescent="0.3">
      <c r="A4" s="167" t="s">
        <v>132</v>
      </c>
      <c r="B4" s="163">
        <v>0.1</v>
      </c>
      <c r="D4" s="137"/>
      <c r="E4" s="148"/>
      <c r="F4" s="39"/>
      <c r="G4" s="138"/>
      <c r="H4" s="138"/>
      <c r="J4" s="154"/>
      <c r="K4" s="154"/>
      <c r="M4" s="123"/>
      <c r="N4" s="123"/>
      <c r="P4" s="123"/>
      <c r="Q4" s="123"/>
      <c r="S4" s="140"/>
      <c r="T4" s="140"/>
      <c r="V4" s="75"/>
      <c r="AK4" s="131"/>
      <c r="AL4" s="131"/>
      <c r="AQ4" s="143"/>
      <c r="AR4" s="143"/>
      <c r="AT4" s="131"/>
      <c r="AU4" s="131"/>
    </row>
    <row r="5" spans="1:57" x14ac:dyDescent="0.25">
      <c r="A5" t="s">
        <v>133</v>
      </c>
      <c r="D5" s="162">
        <f>ROUND('AMT Gold Standard from 24 Feb26'!D5*(1+$B$4)*SUM(1+D$1),2)</f>
        <v>58.6</v>
      </c>
      <c r="E5" s="162">
        <f>ROUND('AMT Gold Standard from 24 Feb26'!E5*(1+$B$4)*SUM(1+E$1),2)</f>
        <v>85.47</v>
      </c>
      <c r="F5" s="81"/>
      <c r="G5" s="153">
        <f t="shared" ref="G5:H8" si="0">D5*SUM(1+$G$1/$Y$1)</f>
        <v>70.319999999999993</v>
      </c>
      <c r="H5" s="153">
        <f t="shared" si="0"/>
        <v>102.56399999999999</v>
      </c>
      <c r="I5" s="83"/>
      <c r="J5" s="155">
        <f>G5-D5</f>
        <v>11.719999999999992</v>
      </c>
      <c r="K5" s="155">
        <f>H5-E5</f>
        <v>17.093999999999994</v>
      </c>
      <c r="L5" s="83"/>
      <c r="M5" s="134">
        <f>ROUND(D5*(1+$G$1*2),2)*SUM(1+$M$1)</f>
        <v>77.352000000000004</v>
      </c>
      <c r="N5" s="134">
        <f>ROUND(E5*(1+$G$1*2),2)*SUM(1+$M$1)</f>
        <v>112.81600000000002</v>
      </c>
      <c r="P5" s="134">
        <f>M5-D5</f>
        <v>18.752000000000002</v>
      </c>
      <c r="Q5" s="134">
        <f>N5-E5</f>
        <v>27.346000000000018</v>
      </c>
      <c r="S5" s="141">
        <f t="shared" ref="S5:T8" si="1">AK5/G5</f>
        <v>9.9971558589306037E-2</v>
      </c>
      <c r="T5" s="141">
        <f t="shared" si="1"/>
        <v>0.10003510003510004</v>
      </c>
      <c r="V5" s="41">
        <f t="shared" ref="V5:W8" si="2">SUM(D5/(1-$Y$1))</f>
        <v>117.2</v>
      </c>
      <c r="W5" s="41">
        <f t="shared" si="2"/>
        <v>170.94</v>
      </c>
      <c r="X5" s="82"/>
      <c r="Y5" s="41">
        <f>ROUND(D5/(1-$Y$1)*1.2,2)</f>
        <v>140.63999999999999</v>
      </c>
      <c r="Z5" s="41">
        <f>ROUND(E5/(1-$Y$1)*1.2,2)</f>
        <v>205.13</v>
      </c>
      <c r="AB5" s="182">
        <f>ROUNDDOWN(D5/(1-$Y$1)*1.2,1)</f>
        <v>140.6</v>
      </c>
      <c r="AC5" s="182">
        <f>ROUNDDOWN(E5/(1-$Y$1)*1.2,1)</f>
        <v>205.1</v>
      </c>
      <c r="AE5" s="40">
        <f>AB5/1.2</f>
        <v>117.16666666666667</v>
      </c>
      <c r="AF5" s="40">
        <f>AC5/1.2</f>
        <v>170.91666666666666</v>
      </c>
      <c r="AH5" s="40">
        <f>Y5-AB5</f>
        <v>3.9999999999992042E-2</v>
      </c>
      <c r="AI5" s="40">
        <f>Z5-AC5</f>
        <v>3.0000000000001137E-2</v>
      </c>
      <c r="AK5" s="130">
        <f t="shared" ref="AK5:AL8" si="3">ROUND(M5*(1-(1/(1+$AL$1))),2)</f>
        <v>7.03</v>
      </c>
      <c r="AL5" s="130">
        <f t="shared" si="3"/>
        <v>10.26</v>
      </c>
      <c r="AM5" s="40"/>
      <c r="AN5" s="40">
        <f>SUM(V5-G5)-AH5</f>
        <v>46.840000000000018</v>
      </c>
      <c r="AO5" s="40">
        <f>SUM(W5-H5)-AI5</f>
        <v>68.346000000000004</v>
      </c>
      <c r="AP5" s="40"/>
      <c r="AQ5" s="144">
        <f t="shared" ref="AQ5:AR8" si="4">(SUM(G5-D5)/D5*$Y$1)</f>
        <v>9.9999999999999922E-2</v>
      </c>
      <c r="AR5" s="144">
        <f t="shared" si="4"/>
        <v>9.9999999999999964E-2</v>
      </c>
      <c r="AS5" s="40"/>
      <c r="AT5" s="146">
        <f t="shared" ref="AT5:AU8" si="5">AN5/V5</f>
        <v>0.39965870307167251</v>
      </c>
      <c r="AU5" s="146">
        <f t="shared" si="5"/>
        <v>0.39982449982449986</v>
      </c>
      <c r="AV5" s="40"/>
      <c r="AW5" s="76">
        <f t="shared" ref="AW5:AX8" si="6">D5/V5</f>
        <v>0.5</v>
      </c>
      <c r="AX5" s="76">
        <f t="shared" si="6"/>
        <v>0.5</v>
      </c>
      <c r="AY5" s="42"/>
      <c r="AZ5" s="42">
        <f t="shared" ref="AZ5:BA8" si="7">J5+AN5</f>
        <v>58.560000000000009</v>
      </c>
      <c r="BA5" s="42">
        <f t="shared" si="7"/>
        <v>85.44</v>
      </c>
      <c r="BB5" s="42"/>
      <c r="BC5" s="76">
        <f t="shared" ref="BC5:BD8" si="8">AZ5/(D5/$Y$1)</f>
        <v>0.49965870307167243</v>
      </c>
      <c r="BD5" s="76">
        <f t="shared" si="8"/>
        <v>0.49982449982449983</v>
      </c>
      <c r="BE5" s="42"/>
    </row>
    <row r="6" spans="1:57" x14ac:dyDescent="0.25">
      <c r="A6" t="s">
        <v>134</v>
      </c>
      <c r="D6" s="162">
        <f>ROUND('AMT Gold Standard from 24 Feb26'!D6*(1+$B$4)*SUM(1+D$1),2)</f>
        <v>87.91</v>
      </c>
      <c r="E6" s="162">
        <f>ROUND('AMT Gold Standard from 24 Feb26'!E6*(1+$B$4)*SUM(1+E$1),2)</f>
        <v>128.19</v>
      </c>
      <c r="F6" s="81"/>
      <c r="G6" s="153">
        <f t="shared" si="0"/>
        <v>105.49199999999999</v>
      </c>
      <c r="H6" s="153">
        <f t="shared" si="0"/>
        <v>153.828</v>
      </c>
      <c r="I6" s="83"/>
      <c r="J6" s="155">
        <f>G6-D6</f>
        <v>17.581999999999994</v>
      </c>
      <c r="K6" s="155">
        <f>H6-E6</f>
        <v>25.638000000000005</v>
      </c>
      <c r="L6" s="83"/>
      <c r="M6" s="134">
        <f t="shared" ref="M6:N8" si="9">ROUND(D6*(1+$G$1*2),2)*SUM(1+$M$1)</f>
        <v>116.039</v>
      </c>
      <c r="N6" s="134">
        <f t="shared" si="9"/>
        <v>169.21300000000002</v>
      </c>
      <c r="P6" s="134">
        <f>M6-D6</f>
        <v>28.129000000000005</v>
      </c>
      <c r="Q6" s="134">
        <f>N6-E6</f>
        <v>41.023000000000025</v>
      </c>
      <c r="S6" s="141">
        <f t="shared" si="1"/>
        <v>0.1000075835134418</v>
      </c>
      <c r="T6" s="141">
        <f t="shared" si="1"/>
        <v>9.9981797852146559E-2</v>
      </c>
      <c r="V6" s="41">
        <f t="shared" si="2"/>
        <v>175.82</v>
      </c>
      <c r="W6" s="41">
        <f t="shared" si="2"/>
        <v>256.38</v>
      </c>
      <c r="X6" s="82"/>
      <c r="Y6" s="41">
        <f t="shared" ref="Y6:Z8" si="10">ROUND(D6/(1-$Y$1)*1.2,2)</f>
        <v>210.98</v>
      </c>
      <c r="Z6" s="41">
        <f t="shared" si="10"/>
        <v>307.66000000000003</v>
      </c>
      <c r="AB6" s="182">
        <f t="shared" ref="AB6:AC8" si="11">ROUNDDOWN(D6/(1-$Y$1)*1.2,1)</f>
        <v>210.9</v>
      </c>
      <c r="AC6" s="182">
        <f t="shared" si="11"/>
        <v>307.60000000000002</v>
      </c>
      <c r="AE6" s="40">
        <f t="shared" ref="AE6:AF8" si="12">AB6/1.2</f>
        <v>175.75</v>
      </c>
      <c r="AF6" s="40">
        <f t="shared" si="12"/>
        <v>256.33333333333337</v>
      </c>
      <c r="AH6" s="40">
        <f t="shared" ref="AH6:AI8" si="13">Y6-AB6</f>
        <v>7.9999999999984084E-2</v>
      </c>
      <c r="AI6" s="40">
        <f t="shared" si="13"/>
        <v>6.0000000000002274E-2</v>
      </c>
      <c r="AK6" s="130">
        <f t="shared" si="3"/>
        <v>10.55</v>
      </c>
      <c r="AL6" s="130">
        <f t="shared" si="3"/>
        <v>15.38</v>
      </c>
      <c r="AM6" s="40"/>
      <c r="AN6" s="40">
        <f t="shared" ref="AN6:AO8" si="14">SUM(V6-G6)-AH6</f>
        <v>70.248000000000019</v>
      </c>
      <c r="AO6" s="40">
        <f t="shared" si="14"/>
        <v>102.49199999999999</v>
      </c>
      <c r="AP6" s="40"/>
      <c r="AQ6" s="144">
        <f t="shared" si="4"/>
        <v>9.9999999999999964E-2</v>
      </c>
      <c r="AR6" s="144">
        <f t="shared" si="4"/>
        <v>0.10000000000000002</v>
      </c>
      <c r="AS6" s="40"/>
      <c r="AT6" s="146">
        <f t="shared" si="5"/>
        <v>0.39954498919349346</v>
      </c>
      <c r="AU6" s="146">
        <f t="shared" si="5"/>
        <v>0.39976597238474137</v>
      </c>
      <c r="AV6" s="40"/>
      <c r="AW6" s="76">
        <f t="shared" si="6"/>
        <v>0.5</v>
      </c>
      <c r="AX6" s="76">
        <f t="shared" si="6"/>
        <v>0.5</v>
      </c>
      <c r="AY6" s="42"/>
      <c r="AZ6" s="42">
        <f t="shared" si="7"/>
        <v>87.830000000000013</v>
      </c>
      <c r="BA6" s="42">
        <f t="shared" si="7"/>
        <v>128.13</v>
      </c>
      <c r="BB6" s="42"/>
      <c r="BC6" s="76">
        <f t="shared" si="8"/>
        <v>0.49954498919349344</v>
      </c>
      <c r="BD6" s="76">
        <f t="shared" si="8"/>
        <v>0.49976597238474141</v>
      </c>
      <c r="BE6" s="42"/>
    </row>
    <row r="7" spans="1:57" x14ac:dyDescent="0.25">
      <c r="A7" t="s">
        <v>135</v>
      </c>
      <c r="D7" s="162">
        <f>ROUND('AMT Gold Standard from 24 Feb26'!D7*(1+$B$4)*SUM(1+D$1),2)</f>
        <v>98.32</v>
      </c>
      <c r="E7" s="162">
        <f>ROUND('AMT Gold Standard from 24 Feb26'!E7*(1+$B$4)*SUM(1+E$1),2)</f>
        <v>146.76</v>
      </c>
      <c r="F7" s="81"/>
      <c r="G7" s="153">
        <f t="shared" si="0"/>
        <v>117.98399999999998</v>
      </c>
      <c r="H7" s="153">
        <f t="shared" si="0"/>
        <v>176.11199999999999</v>
      </c>
      <c r="J7" s="155">
        <f t="shared" ref="J7:K8" si="15">G7-D7</f>
        <v>19.663999999999987</v>
      </c>
      <c r="K7" s="155">
        <f t="shared" si="15"/>
        <v>29.352000000000004</v>
      </c>
      <c r="M7" s="134">
        <f t="shared" si="9"/>
        <v>129.77800000000002</v>
      </c>
      <c r="N7" s="134">
        <f t="shared" si="9"/>
        <v>193.72100000000003</v>
      </c>
      <c r="P7" s="134">
        <f t="shared" ref="P7:Q8" si="16">M7-D7</f>
        <v>31.458000000000027</v>
      </c>
      <c r="Q7" s="134">
        <f t="shared" si="16"/>
        <v>46.961000000000041</v>
      </c>
      <c r="S7" s="141">
        <f t="shared" si="1"/>
        <v>0.10001356116083539</v>
      </c>
      <c r="T7" s="141">
        <f t="shared" si="1"/>
        <v>9.9993186154265473E-2</v>
      </c>
      <c r="V7" s="41">
        <f t="shared" si="2"/>
        <v>196.64</v>
      </c>
      <c r="W7" s="41">
        <f t="shared" si="2"/>
        <v>293.52</v>
      </c>
      <c r="Y7" s="41">
        <f t="shared" si="10"/>
        <v>235.97</v>
      </c>
      <c r="Z7" s="41">
        <f t="shared" si="10"/>
        <v>352.22</v>
      </c>
      <c r="AB7" s="182">
        <f t="shared" si="11"/>
        <v>235.9</v>
      </c>
      <c r="AC7" s="182">
        <f t="shared" si="11"/>
        <v>352.2</v>
      </c>
      <c r="AE7" s="40">
        <f t="shared" si="12"/>
        <v>196.58333333333334</v>
      </c>
      <c r="AF7" s="40">
        <f t="shared" si="12"/>
        <v>293.5</v>
      </c>
      <c r="AH7" s="40">
        <f t="shared" si="13"/>
        <v>6.9999999999993179E-2</v>
      </c>
      <c r="AI7" s="40">
        <f t="shared" si="13"/>
        <v>2.0000000000038654E-2</v>
      </c>
      <c r="AK7" s="130">
        <f t="shared" si="3"/>
        <v>11.8</v>
      </c>
      <c r="AL7" s="130">
        <f t="shared" si="3"/>
        <v>17.61</v>
      </c>
      <c r="AM7" s="40"/>
      <c r="AN7" s="40">
        <f t="shared" si="14"/>
        <v>78.586000000000013</v>
      </c>
      <c r="AO7" s="40">
        <f t="shared" si="14"/>
        <v>117.38799999999995</v>
      </c>
      <c r="AP7" s="40"/>
      <c r="AQ7" s="144">
        <f t="shared" si="4"/>
        <v>9.9999999999999936E-2</v>
      </c>
      <c r="AR7" s="144">
        <f t="shared" si="4"/>
        <v>0.10000000000000002</v>
      </c>
      <c r="AS7" s="40"/>
      <c r="AT7" s="146">
        <f t="shared" si="5"/>
        <v>0.39964401952807171</v>
      </c>
      <c r="AU7" s="146">
        <f t="shared" si="5"/>
        <v>0.39993186154265453</v>
      </c>
      <c r="AV7" s="40"/>
      <c r="AW7" s="76">
        <f t="shared" si="6"/>
        <v>0.5</v>
      </c>
      <c r="AX7" s="76">
        <f t="shared" si="6"/>
        <v>0.5</v>
      </c>
      <c r="AY7" s="42"/>
      <c r="AZ7" s="42">
        <f t="shared" si="7"/>
        <v>98.25</v>
      </c>
      <c r="BA7" s="42">
        <f t="shared" si="7"/>
        <v>146.73999999999995</v>
      </c>
      <c r="BB7" s="42"/>
      <c r="BC7" s="76">
        <f t="shared" si="8"/>
        <v>0.49964401952807164</v>
      </c>
      <c r="BD7" s="76">
        <f t="shared" si="8"/>
        <v>0.49993186154265457</v>
      </c>
      <c r="BE7" s="42"/>
    </row>
    <row r="8" spans="1:57" x14ac:dyDescent="0.25">
      <c r="A8" t="s">
        <v>136</v>
      </c>
      <c r="D8" s="162">
        <f>ROUND('AMT Gold Standard from 24 Feb26'!D8*(1+$B$4)*SUM(1+D$1),2)</f>
        <v>102.49</v>
      </c>
      <c r="E8" s="162">
        <f>ROUND('AMT Gold Standard from 24 Feb26'!E8*(1+$B$4)*SUM(1+E$1),2)</f>
        <v>151.31</v>
      </c>
      <c r="F8" s="81"/>
      <c r="G8" s="153">
        <f t="shared" si="0"/>
        <v>122.98799999999999</v>
      </c>
      <c r="H8" s="153">
        <f t="shared" si="0"/>
        <v>181.572</v>
      </c>
      <c r="J8" s="155">
        <f t="shared" si="15"/>
        <v>20.49799999999999</v>
      </c>
      <c r="K8" s="155">
        <f t="shared" si="15"/>
        <v>30.262</v>
      </c>
      <c r="M8" s="134">
        <f t="shared" si="9"/>
        <v>135.28900000000002</v>
      </c>
      <c r="N8" s="134">
        <f t="shared" si="9"/>
        <v>199.727</v>
      </c>
      <c r="P8" s="134">
        <f t="shared" si="16"/>
        <v>32.799000000000021</v>
      </c>
      <c r="Q8" s="134">
        <f t="shared" si="16"/>
        <v>48.417000000000002</v>
      </c>
      <c r="S8" s="141">
        <f t="shared" si="1"/>
        <v>0.10000975704946825</v>
      </c>
      <c r="T8" s="141">
        <f t="shared" si="1"/>
        <v>0.10001542087987135</v>
      </c>
      <c r="V8" s="41">
        <f t="shared" si="2"/>
        <v>204.98</v>
      </c>
      <c r="W8" s="41">
        <f t="shared" si="2"/>
        <v>302.62</v>
      </c>
      <c r="Y8" s="41">
        <f t="shared" si="10"/>
        <v>245.98</v>
      </c>
      <c r="Z8" s="41">
        <f t="shared" si="10"/>
        <v>363.14</v>
      </c>
      <c r="AB8" s="182">
        <f t="shared" si="11"/>
        <v>245.9</v>
      </c>
      <c r="AC8" s="182">
        <f t="shared" si="11"/>
        <v>363.1</v>
      </c>
      <c r="AE8" s="40">
        <f t="shared" si="12"/>
        <v>204.91666666666669</v>
      </c>
      <c r="AF8" s="40">
        <f t="shared" si="12"/>
        <v>302.58333333333337</v>
      </c>
      <c r="AH8" s="40">
        <f t="shared" si="13"/>
        <v>7.9999999999984084E-2</v>
      </c>
      <c r="AI8" s="40">
        <f t="shared" si="13"/>
        <v>3.999999999996362E-2</v>
      </c>
      <c r="AK8" s="130">
        <f t="shared" si="3"/>
        <v>12.3</v>
      </c>
      <c r="AL8" s="130">
        <f t="shared" si="3"/>
        <v>18.16</v>
      </c>
      <c r="AM8" s="40"/>
      <c r="AN8" s="40">
        <f t="shared" si="14"/>
        <v>81.91200000000002</v>
      </c>
      <c r="AO8" s="40">
        <f t="shared" si="14"/>
        <v>121.00800000000004</v>
      </c>
      <c r="AP8" s="40"/>
      <c r="AQ8" s="144">
        <f t="shared" si="4"/>
        <v>9.9999999999999964E-2</v>
      </c>
      <c r="AR8" s="144">
        <f t="shared" si="4"/>
        <v>0.1</v>
      </c>
      <c r="AS8" s="40"/>
      <c r="AT8" s="146">
        <f t="shared" si="5"/>
        <v>0.39960971802127049</v>
      </c>
      <c r="AU8" s="146">
        <f t="shared" si="5"/>
        <v>0.39986782102967428</v>
      </c>
      <c r="AV8" s="40"/>
      <c r="AW8" s="76">
        <f t="shared" si="6"/>
        <v>0.5</v>
      </c>
      <c r="AX8" s="76">
        <f t="shared" si="6"/>
        <v>0.5</v>
      </c>
      <c r="AY8" s="42"/>
      <c r="AZ8" s="42">
        <f t="shared" si="7"/>
        <v>102.41000000000001</v>
      </c>
      <c r="BA8" s="42">
        <f t="shared" si="7"/>
        <v>151.27000000000004</v>
      </c>
      <c r="BB8" s="42"/>
      <c r="BC8" s="76">
        <f t="shared" si="8"/>
        <v>0.49960971802127047</v>
      </c>
      <c r="BD8" s="76">
        <f t="shared" si="8"/>
        <v>0.49986782102967431</v>
      </c>
      <c r="BE8" s="42"/>
    </row>
    <row r="9" spans="1:57" ht="15.75" thickBot="1" x14ac:dyDescent="0.3">
      <c r="A9"/>
      <c r="D9" s="162"/>
      <c r="E9" s="162"/>
      <c r="F9" s="41"/>
      <c r="G9" s="153"/>
      <c r="H9" s="153"/>
      <c r="I9" s="75"/>
      <c r="J9" s="156"/>
      <c r="K9" s="156"/>
      <c r="L9" s="75"/>
      <c r="M9" s="134"/>
      <c r="N9" s="134"/>
      <c r="P9" s="134"/>
      <c r="Q9" s="134"/>
      <c r="S9" s="140"/>
      <c r="T9" s="140"/>
      <c r="V9" s="40"/>
      <c r="W9" s="40"/>
      <c r="Y9" s="41"/>
      <c r="Z9" s="41"/>
      <c r="AK9" s="130"/>
      <c r="AL9" s="130"/>
      <c r="AM9" s="40"/>
      <c r="AN9" s="40"/>
      <c r="AO9" s="40"/>
      <c r="AP9" s="40"/>
      <c r="AQ9" s="145"/>
      <c r="AR9" s="145"/>
      <c r="AS9" s="40"/>
      <c r="AT9" s="146"/>
      <c r="AU9" s="146"/>
      <c r="AV9" s="40"/>
      <c r="AW9" s="76"/>
      <c r="AX9" s="76"/>
      <c r="AY9" s="42"/>
      <c r="AZ9" s="42"/>
      <c r="BA9" s="42"/>
      <c r="BB9" s="42"/>
      <c r="BC9" s="76"/>
      <c r="BD9" s="76"/>
      <c r="BE9" s="42"/>
    </row>
    <row r="10" spans="1:57" ht="15.75" thickBot="1" x14ac:dyDescent="0.3">
      <c r="A10" s="167" t="s">
        <v>137</v>
      </c>
      <c r="B10" s="163">
        <v>0.25</v>
      </c>
      <c r="D10" s="162"/>
      <c r="E10" s="162"/>
      <c r="F10" s="41"/>
      <c r="G10" s="153"/>
      <c r="H10" s="153"/>
      <c r="J10" s="154"/>
      <c r="K10" s="154"/>
      <c r="M10" s="134"/>
      <c r="N10" s="134"/>
      <c r="P10" s="134"/>
      <c r="Q10" s="134"/>
      <c r="S10" s="140"/>
      <c r="T10" s="140"/>
      <c r="V10" s="40"/>
      <c r="W10" s="40"/>
      <c r="Y10" s="41"/>
      <c r="Z10" s="41"/>
      <c r="AK10" s="130"/>
      <c r="AL10" s="130"/>
      <c r="AM10" s="40"/>
      <c r="AN10" s="40"/>
      <c r="AO10" s="40"/>
      <c r="AP10" s="40"/>
      <c r="AQ10" s="145"/>
      <c r="AR10" s="145"/>
      <c r="AS10" s="40"/>
      <c r="AT10" s="146"/>
      <c r="AU10" s="146"/>
      <c r="AV10" s="40"/>
      <c r="AW10" s="76"/>
      <c r="AX10" s="76"/>
      <c r="AY10" s="42"/>
      <c r="AZ10" s="42"/>
      <c r="BA10" s="42"/>
      <c r="BB10" s="42"/>
      <c r="BC10" s="76"/>
      <c r="BD10" s="76"/>
      <c r="BE10" s="42"/>
    </row>
    <row r="11" spans="1:57" x14ac:dyDescent="0.25">
      <c r="A11" t="s">
        <v>133</v>
      </c>
      <c r="D11" s="162">
        <f>ROUND('AMT Gold Standard from 24 Feb26'!D11*(1+$B$10)*SUM(1+D$1),2)</f>
        <v>66.59</v>
      </c>
      <c r="E11" s="162">
        <f>ROUND('AMT Gold Standard from 24 Feb26'!E11*(1+$B$10)*SUM(1+E$1),2)</f>
        <v>97.13</v>
      </c>
      <c r="F11" s="81"/>
      <c r="G11" s="153">
        <f t="shared" ref="G11:H14" si="17">D11*SUM(1+$G$1/$Y$1)</f>
        <v>79.908000000000001</v>
      </c>
      <c r="H11" s="153">
        <f t="shared" si="17"/>
        <v>116.55599999999998</v>
      </c>
      <c r="J11" s="155">
        <f t="shared" ref="J11:K14" si="18">G11-D11</f>
        <v>13.317999999999998</v>
      </c>
      <c r="K11" s="155">
        <f t="shared" si="18"/>
        <v>19.425999999999988</v>
      </c>
      <c r="M11" s="134">
        <f>ROUND(D11*(1+$G$1*2),2)*SUM(1+$M$1)</f>
        <v>87.900999999999996</v>
      </c>
      <c r="N11" s="134">
        <f>ROUND(E11*(1+$G$1*2),2)*SUM(1+$M$1)</f>
        <v>128.21600000000001</v>
      </c>
      <c r="P11" s="134">
        <f t="shared" ref="P11:Q14" si="19">M11-D11</f>
        <v>21.310999999999993</v>
      </c>
      <c r="Q11" s="134">
        <f t="shared" si="19"/>
        <v>31.086000000000013</v>
      </c>
      <c r="S11" s="141">
        <f t="shared" ref="S11:T14" si="20">AK11/G11</f>
        <v>9.9989988486759773E-2</v>
      </c>
      <c r="T11" s="141">
        <f t="shared" si="20"/>
        <v>0.10003775009437525</v>
      </c>
      <c r="V11" s="41">
        <f t="shared" ref="V11:W14" si="21">SUM(D11/(1-$Y$1))</f>
        <v>133.18</v>
      </c>
      <c r="W11" s="41">
        <f t="shared" si="21"/>
        <v>194.26</v>
      </c>
      <c r="Y11" s="41">
        <f>ROUND(D11/(1-$Y$1)*1.2,2)</f>
        <v>159.82</v>
      </c>
      <c r="Z11" s="41">
        <f>ROUND(E11/(1-$Y$1)*1.2,2)</f>
        <v>233.11</v>
      </c>
      <c r="AB11" s="182">
        <f t="shared" ref="AB11:AC14" si="22">ROUNDDOWN(D11/(1-$Y$1)*1.2,1)</f>
        <v>159.80000000000001</v>
      </c>
      <c r="AC11" s="182">
        <f t="shared" si="22"/>
        <v>233.1</v>
      </c>
      <c r="AE11" s="40">
        <f t="shared" ref="AE11:AF14" si="23">AB11/1.2</f>
        <v>133.16666666666669</v>
      </c>
      <c r="AF11" s="40">
        <f t="shared" si="23"/>
        <v>194.25</v>
      </c>
      <c r="AH11" s="40">
        <f t="shared" ref="AH11:AI14" si="24">Y11-AB11</f>
        <v>1.999999999998181E-2</v>
      </c>
      <c r="AI11" s="40">
        <f t="shared" si="24"/>
        <v>1.0000000000019327E-2</v>
      </c>
      <c r="AK11" s="130">
        <f t="shared" ref="AK11:AL14" si="25">ROUND(M11*(1-(1/(1+$AL$1))),2)</f>
        <v>7.99</v>
      </c>
      <c r="AL11" s="130">
        <f t="shared" si="25"/>
        <v>11.66</v>
      </c>
      <c r="AM11" s="40"/>
      <c r="AN11" s="40">
        <f t="shared" ref="AN11:AO14" si="26">SUM(V11-G11)-AH11</f>
        <v>53.252000000000024</v>
      </c>
      <c r="AO11" s="40">
        <f t="shared" si="26"/>
        <v>77.693999999999988</v>
      </c>
      <c r="AP11" s="40"/>
      <c r="AQ11" s="144">
        <f t="shared" ref="AQ11:AR14" si="27">(SUM(G11-D11)/D11*$Y$1)</f>
        <v>9.9999999999999978E-2</v>
      </c>
      <c r="AR11" s="144">
        <f t="shared" si="27"/>
        <v>9.9999999999999936E-2</v>
      </c>
      <c r="AS11" s="40"/>
      <c r="AT11" s="146">
        <f t="shared" ref="AT11:AU14" si="28">AN11/V11</f>
        <v>0.39984982730139679</v>
      </c>
      <c r="AU11" s="146">
        <f t="shared" si="28"/>
        <v>0.39994852259857916</v>
      </c>
      <c r="AV11" s="40"/>
      <c r="AW11" s="76">
        <f t="shared" ref="AW11:AX14" si="29">D11/V11</f>
        <v>0.5</v>
      </c>
      <c r="AX11" s="76">
        <f t="shared" si="29"/>
        <v>0.5</v>
      </c>
      <c r="AY11" s="42"/>
      <c r="AZ11" s="42">
        <f t="shared" ref="AZ11:BA14" si="30">J11+AN11</f>
        <v>66.570000000000022</v>
      </c>
      <c r="BA11" s="42">
        <f t="shared" si="30"/>
        <v>97.119999999999976</v>
      </c>
      <c r="BB11" s="42"/>
      <c r="BC11" s="76">
        <f t="shared" ref="BC11:BD14" si="31">AZ11/(D11/$Y$1)</f>
        <v>0.49984982730139677</v>
      </c>
      <c r="BD11" s="76">
        <f t="shared" si="31"/>
        <v>0.49994852259857914</v>
      </c>
      <c r="BE11" s="42"/>
    </row>
    <row r="12" spans="1:57" x14ac:dyDescent="0.25">
      <c r="A12" t="s">
        <v>134</v>
      </c>
      <c r="D12" s="162">
        <f>ROUND('AMT Gold Standard from 24 Feb26'!D12*(1+$B$10)*SUM(1+D$1),2)</f>
        <v>99.9</v>
      </c>
      <c r="E12" s="162">
        <f>ROUND('AMT Gold Standard from 24 Feb26'!E12*(1+$B$10)*SUM(1+E$1),2)</f>
        <v>145.66999999999999</v>
      </c>
      <c r="F12" s="81"/>
      <c r="G12" s="153">
        <f t="shared" si="17"/>
        <v>119.88</v>
      </c>
      <c r="H12" s="153">
        <f t="shared" si="17"/>
        <v>174.80399999999997</v>
      </c>
      <c r="J12" s="155">
        <f t="shared" si="18"/>
        <v>19.97999999999999</v>
      </c>
      <c r="K12" s="155">
        <f t="shared" si="18"/>
        <v>29.133999999999986</v>
      </c>
      <c r="M12" s="134">
        <f>ROUND(D12*(1+$G$1*2),2)*SUM(1+$M$1)</f>
        <v>131.86799999999999</v>
      </c>
      <c r="N12" s="134">
        <f t="shared" ref="M12:N14" si="32">ROUND(E12*(1+$G$1*2),2)*SUM(1+$M$1)</f>
        <v>192.28000000000003</v>
      </c>
      <c r="P12" s="134">
        <f t="shared" si="19"/>
        <v>31.967999999999989</v>
      </c>
      <c r="Q12" s="134">
        <f t="shared" si="19"/>
        <v>46.610000000000042</v>
      </c>
      <c r="S12" s="141">
        <f t="shared" si="20"/>
        <v>0.10001668335001669</v>
      </c>
      <c r="T12" s="141">
        <f t="shared" si="20"/>
        <v>9.9997711722843885E-2</v>
      </c>
      <c r="V12" s="41">
        <f t="shared" si="21"/>
        <v>199.8</v>
      </c>
      <c r="W12" s="41">
        <f t="shared" si="21"/>
        <v>291.33999999999997</v>
      </c>
      <c r="Y12" s="41">
        <f t="shared" ref="Y12:Z14" si="33">ROUND(D12/(1-$Y$1)*1.2,2)</f>
        <v>239.76</v>
      </c>
      <c r="Z12" s="41">
        <f t="shared" si="33"/>
        <v>349.61</v>
      </c>
      <c r="AB12" s="182">
        <f t="shared" si="22"/>
        <v>239.7</v>
      </c>
      <c r="AC12" s="182">
        <f t="shared" si="22"/>
        <v>349.6</v>
      </c>
      <c r="AE12" s="40">
        <f t="shared" si="23"/>
        <v>199.75</v>
      </c>
      <c r="AF12" s="40">
        <f t="shared" si="23"/>
        <v>291.33333333333337</v>
      </c>
      <c r="AH12" s="40">
        <f t="shared" si="24"/>
        <v>6.0000000000002274E-2</v>
      </c>
      <c r="AI12" s="40">
        <f t="shared" si="24"/>
        <v>9.9999999999909051E-3</v>
      </c>
      <c r="AK12" s="130">
        <f t="shared" si="25"/>
        <v>11.99</v>
      </c>
      <c r="AL12" s="130">
        <f t="shared" si="25"/>
        <v>17.48</v>
      </c>
      <c r="AM12" s="40"/>
      <c r="AN12" s="40">
        <f t="shared" si="26"/>
        <v>79.860000000000014</v>
      </c>
      <c r="AO12" s="40">
        <f t="shared" si="26"/>
        <v>116.52600000000001</v>
      </c>
      <c r="AP12" s="40"/>
      <c r="AQ12" s="144">
        <f t="shared" si="27"/>
        <v>9.999999999999995E-2</v>
      </c>
      <c r="AR12" s="144">
        <f t="shared" si="27"/>
        <v>9.9999999999999964E-2</v>
      </c>
      <c r="AS12" s="40"/>
      <c r="AT12" s="146">
        <f t="shared" si="28"/>
        <v>0.39969969969969976</v>
      </c>
      <c r="AU12" s="146">
        <f t="shared" si="28"/>
        <v>0.39996567584265813</v>
      </c>
      <c r="AV12" s="40"/>
      <c r="AW12" s="76">
        <f t="shared" si="29"/>
        <v>0.5</v>
      </c>
      <c r="AX12" s="76">
        <f t="shared" si="29"/>
        <v>0.5</v>
      </c>
      <c r="AY12" s="42"/>
      <c r="AZ12" s="42">
        <f t="shared" si="30"/>
        <v>99.84</v>
      </c>
      <c r="BA12" s="42">
        <f t="shared" si="30"/>
        <v>145.66</v>
      </c>
      <c r="BB12" s="42"/>
      <c r="BC12" s="76">
        <f t="shared" si="31"/>
        <v>0.49969969969969968</v>
      </c>
      <c r="BD12" s="76">
        <f t="shared" si="31"/>
        <v>0.49996567584265811</v>
      </c>
      <c r="BE12" s="42"/>
    </row>
    <row r="13" spans="1:57" x14ac:dyDescent="0.25">
      <c r="A13" t="s">
        <v>135</v>
      </c>
      <c r="D13" s="162">
        <f>ROUND('AMT Gold Standard from 24 Feb26'!D13*(1+$B$10)*SUM(1+D$1),2)</f>
        <v>111.73</v>
      </c>
      <c r="E13" s="162">
        <f>ROUND('AMT Gold Standard from 24 Feb26'!E13*(1+$B$10)*SUM(1+E$1),2)</f>
        <v>166.78</v>
      </c>
      <c r="F13" s="81"/>
      <c r="G13" s="153">
        <f t="shared" si="17"/>
        <v>134.07599999999999</v>
      </c>
      <c r="H13" s="153">
        <f t="shared" si="17"/>
        <v>200.136</v>
      </c>
      <c r="J13" s="155">
        <f t="shared" si="18"/>
        <v>22.345999999999989</v>
      </c>
      <c r="K13" s="155">
        <f t="shared" si="18"/>
        <v>33.355999999999995</v>
      </c>
      <c r="M13" s="134">
        <f t="shared" si="32"/>
        <v>147.48800000000003</v>
      </c>
      <c r="N13" s="134">
        <f t="shared" si="32"/>
        <v>220.154</v>
      </c>
      <c r="P13" s="134">
        <f t="shared" si="19"/>
        <v>35.758000000000024</v>
      </c>
      <c r="Q13" s="134">
        <f t="shared" si="19"/>
        <v>53.373999999999995</v>
      </c>
      <c r="S13" s="141">
        <f t="shared" si="20"/>
        <v>0.10001790029535489</v>
      </c>
      <c r="T13" s="141">
        <f t="shared" si="20"/>
        <v>9.998201223168246E-2</v>
      </c>
      <c r="V13" s="41">
        <f t="shared" si="21"/>
        <v>223.46</v>
      </c>
      <c r="W13" s="41">
        <f t="shared" si="21"/>
        <v>333.56</v>
      </c>
      <c r="Y13" s="41">
        <f t="shared" si="33"/>
        <v>268.14999999999998</v>
      </c>
      <c r="Z13" s="41">
        <f t="shared" si="33"/>
        <v>400.27</v>
      </c>
      <c r="AB13" s="182">
        <f t="shared" si="22"/>
        <v>268.10000000000002</v>
      </c>
      <c r="AC13" s="182">
        <f t="shared" si="22"/>
        <v>400.2</v>
      </c>
      <c r="AE13" s="40">
        <f t="shared" si="23"/>
        <v>223.41666666666669</v>
      </c>
      <c r="AF13" s="40">
        <f t="shared" si="23"/>
        <v>333.5</v>
      </c>
      <c r="AH13" s="40">
        <f t="shared" si="24"/>
        <v>4.9999999999954525E-2</v>
      </c>
      <c r="AI13" s="40">
        <f t="shared" si="24"/>
        <v>6.9999999999993179E-2</v>
      </c>
      <c r="AK13" s="130">
        <f t="shared" si="25"/>
        <v>13.41</v>
      </c>
      <c r="AL13" s="130">
        <f t="shared" si="25"/>
        <v>20.010000000000002</v>
      </c>
      <c r="AM13" s="40"/>
      <c r="AN13" s="40">
        <f t="shared" si="26"/>
        <v>89.33400000000006</v>
      </c>
      <c r="AO13" s="40">
        <f t="shared" si="26"/>
        <v>133.35400000000001</v>
      </c>
      <c r="AP13" s="40"/>
      <c r="AQ13" s="144">
        <f t="shared" si="27"/>
        <v>9.999999999999995E-2</v>
      </c>
      <c r="AR13" s="144">
        <f t="shared" si="27"/>
        <v>9.9999999999999978E-2</v>
      </c>
      <c r="AS13" s="40"/>
      <c r="AT13" s="146">
        <f t="shared" si="28"/>
        <v>0.39977624630806435</v>
      </c>
      <c r="AU13" s="146">
        <f t="shared" si="28"/>
        <v>0.39979014270296204</v>
      </c>
      <c r="AV13" s="40"/>
      <c r="AW13" s="76">
        <f t="shared" si="29"/>
        <v>0.5</v>
      </c>
      <c r="AX13" s="76">
        <f t="shared" si="29"/>
        <v>0.5</v>
      </c>
      <c r="AY13" s="42"/>
      <c r="AZ13" s="42">
        <f t="shared" si="30"/>
        <v>111.68000000000005</v>
      </c>
      <c r="BA13" s="42">
        <f t="shared" si="30"/>
        <v>166.71</v>
      </c>
      <c r="BB13" s="42"/>
      <c r="BC13" s="76">
        <f t="shared" si="31"/>
        <v>0.49977624630806428</v>
      </c>
      <c r="BD13" s="76">
        <f t="shared" si="31"/>
        <v>0.49979014270296201</v>
      </c>
      <c r="BE13" s="42"/>
    </row>
    <row r="14" spans="1:57" x14ac:dyDescent="0.25">
      <c r="A14" t="s">
        <v>136</v>
      </c>
      <c r="D14" s="162">
        <f>ROUND('AMT Gold Standard from 24 Feb26'!D14*(1+$B$10)*SUM(1+D$1),2)</f>
        <v>116.47</v>
      </c>
      <c r="E14" s="162">
        <f>ROUND('AMT Gold Standard from 24 Feb26'!E14*(1+$B$10)*SUM(1+E$1),2)</f>
        <v>171.95</v>
      </c>
      <c r="F14" s="81"/>
      <c r="G14" s="153">
        <f t="shared" si="17"/>
        <v>139.76399999999998</v>
      </c>
      <c r="H14" s="153">
        <f t="shared" si="17"/>
        <v>206.33999999999997</v>
      </c>
      <c r="J14" s="155">
        <f t="shared" si="18"/>
        <v>23.293999999999983</v>
      </c>
      <c r="K14" s="155">
        <f t="shared" si="18"/>
        <v>34.389999999999986</v>
      </c>
      <c r="M14" s="134">
        <f t="shared" si="32"/>
        <v>153.73599999999999</v>
      </c>
      <c r="N14" s="134">
        <f t="shared" si="32"/>
        <v>226.97400000000002</v>
      </c>
      <c r="P14" s="134">
        <f t="shared" si="19"/>
        <v>37.265999999999991</v>
      </c>
      <c r="Q14" s="134">
        <f t="shared" si="19"/>
        <v>55.024000000000029</v>
      </c>
      <c r="S14" s="141">
        <f t="shared" si="20"/>
        <v>0.10002575770584701</v>
      </c>
      <c r="T14" s="141">
        <f t="shared" si="20"/>
        <v>9.9980614519724731E-2</v>
      </c>
      <c r="V14" s="41">
        <f t="shared" si="21"/>
        <v>232.94</v>
      </c>
      <c r="W14" s="41">
        <f t="shared" si="21"/>
        <v>343.9</v>
      </c>
      <c r="Y14" s="41">
        <f t="shared" si="33"/>
        <v>279.52999999999997</v>
      </c>
      <c r="Z14" s="41">
        <f t="shared" si="33"/>
        <v>412.68</v>
      </c>
      <c r="AB14" s="182">
        <f t="shared" si="22"/>
        <v>279.5</v>
      </c>
      <c r="AC14" s="182">
        <f t="shared" si="22"/>
        <v>412.6</v>
      </c>
      <c r="AE14" s="40">
        <f t="shared" si="23"/>
        <v>232.91666666666669</v>
      </c>
      <c r="AF14" s="40">
        <f t="shared" si="23"/>
        <v>343.83333333333337</v>
      </c>
      <c r="AH14" s="40">
        <f t="shared" si="24"/>
        <v>2.9999999999972715E-2</v>
      </c>
      <c r="AI14" s="40">
        <f t="shared" si="24"/>
        <v>7.9999999999984084E-2</v>
      </c>
      <c r="AK14" s="130">
        <f t="shared" si="25"/>
        <v>13.98</v>
      </c>
      <c r="AL14" s="130">
        <f t="shared" si="25"/>
        <v>20.63</v>
      </c>
      <c r="AM14" s="40"/>
      <c r="AN14" s="40">
        <f t="shared" si="26"/>
        <v>93.146000000000043</v>
      </c>
      <c r="AO14" s="40">
        <f t="shared" si="26"/>
        <v>137.48000000000002</v>
      </c>
      <c r="AP14" s="40"/>
      <c r="AQ14" s="144">
        <f t="shared" si="27"/>
        <v>9.9999999999999922E-2</v>
      </c>
      <c r="AR14" s="144">
        <f t="shared" si="27"/>
        <v>9.9999999999999964E-2</v>
      </c>
      <c r="AS14" s="40"/>
      <c r="AT14" s="146">
        <f t="shared" si="28"/>
        <v>0.39987121147076521</v>
      </c>
      <c r="AU14" s="146">
        <f t="shared" si="28"/>
        <v>0.39976737423669678</v>
      </c>
      <c r="AV14" s="40"/>
      <c r="AW14" s="76">
        <f t="shared" si="29"/>
        <v>0.5</v>
      </c>
      <c r="AX14" s="76">
        <f t="shared" si="29"/>
        <v>0.5</v>
      </c>
      <c r="AY14" s="42"/>
      <c r="AZ14" s="42">
        <f t="shared" si="30"/>
        <v>116.44000000000003</v>
      </c>
      <c r="BA14" s="42">
        <f t="shared" si="30"/>
        <v>171.87</v>
      </c>
      <c r="BB14" s="42"/>
      <c r="BC14" s="76">
        <f t="shared" si="31"/>
        <v>0.49987121147076513</v>
      </c>
      <c r="BD14" s="76">
        <f t="shared" si="31"/>
        <v>0.49976737423669676</v>
      </c>
      <c r="BE14" s="42"/>
    </row>
    <row r="15" spans="1:57" ht="15.75" thickBot="1" x14ac:dyDescent="0.3">
      <c r="A15"/>
      <c r="D15" s="150"/>
      <c r="E15" s="150"/>
      <c r="F15" s="41"/>
      <c r="G15" s="153"/>
      <c r="H15" s="153"/>
      <c r="J15" s="154"/>
      <c r="K15" s="154"/>
      <c r="M15" s="134"/>
      <c r="N15" s="134"/>
      <c r="P15" s="134"/>
      <c r="Q15" s="134"/>
      <c r="S15" s="140"/>
      <c r="T15" s="140"/>
      <c r="V15" s="40"/>
      <c r="W15" s="40"/>
      <c r="Y15" s="41"/>
      <c r="Z15" s="41"/>
      <c r="AK15" s="130"/>
      <c r="AL15" s="130"/>
      <c r="AM15" s="40"/>
      <c r="AN15" s="40"/>
      <c r="AO15" s="40"/>
      <c r="AP15" s="40"/>
      <c r="AQ15" s="145"/>
      <c r="AR15" s="145"/>
      <c r="AS15" s="40"/>
      <c r="AT15" s="146"/>
      <c r="AU15" s="146"/>
      <c r="AV15" s="40"/>
      <c r="AW15" s="76"/>
      <c r="AX15" s="76"/>
      <c r="AY15" s="42"/>
      <c r="AZ15" s="42"/>
      <c r="BA15" s="42"/>
      <c r="BB15" s="42"/>
      <c r="BC15" s="76"/>
      <c r="BD15" s="76"/>
      <c r="BE15" s="42"/>
    </row>
    <row r="16" spans="1:57" ht="15.75" thickBot="1" x14ac:dyDescent="0.3">
      <c r="A16" s="167" t="s">
        <v>138</v>
      </c>
      <c r="B16" s="163">
        <v>0.15</v>
      </c>
      <c r="D16" s="149"/>
      <c r="E16" s="149"/>
      <c r="F16" s="41"/>
      <c r="G16" s="153"/>
      <c r="H16" s="153"/>
      <c r="J16" s="154"/>
      <c r="K16" s="154"/>
      <c r="M16" s="134"/>
      <c r="N16" s="134"/>
      <c r="P16" s="134"/>
      <c r="Q16" s="134"/>
      <c r="S16" s="140"/>
      <c r="T16" s="140"/>
      <c r="V16" s="40"/>
      <c r="W16" s="40"/>
      <c r="Y16" s="41"/>
      <c r="Z16" s="41"/>
      <c r="AK16" s="130"/>
      <c r="AL16" s="130"/>
      <c r="AM16" s="40"/>
      <c r="AN16" s="40"/>
      <c r="AO16" s="40"/>
      <c r="AP16" s="40"/>
      <c r="AQ16" s="145"/>
      <c r="AR16" s="145"/>
      <c r="AS16" s="40"/>
      <c r="AT16" s="146"/>
      <c r="AU16" s="146"/>
      <c r="AV16" s="40"/>
      <c r="AW16" s="76"/>
      <c r="AX16" s="76"/>
      <c r="AY16" s="42"/>
      <c r="AZ16" s="42"/>
      <c r="BA16" s="42"/>
      <c r="BB16" s="42"/>
      <c r="BC16" s="76"/>
      <c r="BD16" s="76"/>
      <c r="BE16" s="42"/>
    </row>
    <row r="17" spans="1:57" x14ac:dyDescent="0.25">
      <c r="A17" t="s">
        <v>133</v>
      </c>
      <c r="D17" s="162">
        <f>ROUND('AMT Gold Standard from 24 Feb26'!D17*(1+$B$16)*SUM(1+D$1),2)</f>
        <v>138.09</v>
      </c>
      <c r="E17" s="162">
        <f>ROUND('AMT Gold Standard from 24 Feb26'!E17*(1+$B$16)*SUM(1+E$1),2)</f>
        <v>212.82</v>
      </c>
      <c r="F17" s="81"/>
      <c r="G17" s="153">
        <f t="shared" ref="G17:H20" si="34">D17*SUM(1+$G$1/$Y$1)</f>
        <v>165.708</v>
      </c>
      <c r="H17" s="153">
        <f t="shared" si="34"/>
        <v>255.38399999999999</v>
      </c>
      <c r="I17" s="83"/>
      <c r="J17" s="155">
        <f t="shared" ref="J17:K20" si="35">G17-D17</f>
        <v>27.617999999999995</v>
      </c>
      <c r="K17" s="155">
        <f t="shared" si="35"/>
        <v>42.563999999999993</v>
      </c>
      <c r="L17" s="83"/>
      <c r="M17" s="134">
        <f>ROUND(D17*(1+$G$1*2),2)*SUM(1+$M$1)</f>
        <v>182.28100000000003</v>
      </c>
      <c r="N17" s="134">
        <f>ROUND(E17*(1+$G$1*2),2)*SUM(1+$M$1)</f>
        <v>280.91800000000001</v>
      </c>
      <c r="P17" s="134">
        <f t="shared" ref="P17:Q20" si="36">M17-D17</f>
        <v>44.191000000000031</v>
      </c>
      <c r="Q17" s="134">
        <f t="shared" si="36"/>
        <v>68.098000000000013</v>
      </c>
      <c r="S17" s="141">
        <f t="shared" ref="S17:T20" si="37">AK17/G17</f>
        <v>9.9995172230670823E-2</v>
      </c>
      <c r="T17" s="141">
        <f t="shared" si="37"/>
        <v>0.10000626507533754</v>
      </c>
      <c r="V17" s="41">
        <f t="shared" ref="V17:W20" si="38">SUM(D17/(1-$Y$1))</f>
        <v>276.18</v>
      </c>
      <c r="W17" s="41">
        <f t="shared" si="38"/>
        <v>425.64</v>
      </c>
      <c r="Y17" s="41">
        <f>ROUND(D17/(1-$Y$1)*1.2,2)</f>
        <v>331.42</v>
      </c>
      <c r="Z17" s="41">
        <f>ROUND(E17/(1-$Y$1)*1.2,2)</f>
        <v>510.77</v>
      </c>
      <c r="AB17" s="182">
        <f t="shared" ref="AB17:AC20" si="39">ROUNDDOWN(D17/(1-$Y$1)*1.2,1)</f>
        <v>331.4</v>
      </c>
      <c r="AC17" s="182">
        <f t="shared" si="39"/>
        <v>510.7</v>
      </c>
      <c r="AE17" s="40">
        <f t="shared" ref="AE17:AF20" si="40">AB17/1.2</f>
        <v>276.16666666666669</v>
      </c>
      <c r="AF17" s="40">
        <f t="shared" si="40"/>
        <v>425.58333333333331</v>
      </c>
      <c r="AH17" s="40">
        <f t="shared" ref="AH17:AI20" si="41">Y17-AB17</f>
        <v>2.0000000000038654E-2</v>
      </c>
      <c r="AI17" s="40">
        <f t="shared" si="41"/>
        <v>6.9999999999993179E-2</v>
      </c>
      <c r="AK17" s="130">
        <f t="shared" ref="AK17:AL20" si="42">ROUND(M17*(1-(1/(1+$AL$1))),2)</f>
        <v>16.57</v>
      </c>
      <c r="AL17" s="130">
        <f t="shared" si="42"/>
        <v>25.54</v>
      </c>
      <c r="AM17" s="40"/>
      <c r="AN17" s="40">
        <f t="shared" ref="AN17:AO20" si="43">SUM(V17-G17)-AH17</f>
        <v>110.45199999999997</v>
      </c>
      <c r="AO17" s="40">
        <f t="shared" si="43"/>
        <v>170.18600000000001</v>
      </c>
      <c r="AP17" s="40"/>
      <c r="AQ17" s="144">
        <f t="shared" ref="AQ17:AR20" si="44">(SUM(G17-D17)/D17*$Y$1)</f>
        <v>9.9999999999999978E-2</v>
      </c>
      <c r="AR17" s="144">
        <f t="shared" si="44"/>
        <v>9.9999999999999992E-2</v>
      </c>
      <c r="AS17" s="40"/>
      <c r="AT17" s="146">
        <f t="shared" ref="AT17:AU20" si="45">AN17/V17</f>
        <v>0.39992758346006219</v>
      </c>
      <c r="AU17" s="146">
        <f t="shared" si="45"/>
        <v>0.39983554177238984</v>
      </c>
      <c r="AV17" s="40"/>
      <c r="AW17" s="76">
        <f t="shared" ref="AW17:AX20" si="46">D17/V17</f>
        <v>0.5</v>
      </c>
      <c r="AX17" s="76">
        <f t="shared" si="46"/>
        <v>0.5</v>
      </c>
      <c r="AY17" s="42"/>
      <c r="AZ17" s="42">
        <f t="shared" ref="AZ17:BA20" si="47">J17+AN17</f>
        <v>138.06999999999996</v>
      </c>
      <c r="BA17" s="42">
        <f t="shared" si="47"/>
        <v>212.75</v>
      </c>
      <c r="BB17" s="42"/>
      <c r="BC17" s="76">
        <f t="shared" ref="BC17:BD20" si="48">AZ17/(D17/$Y$1)</f>
        <v>0.49992758346006216</v>
      </c>
      <c r="BD17" s="76">
        <f t="shared" si="48"/>
        <v>0.49983554177238981</v>
      </c>
      <c r="BE17" s="42"/>
    </row>
    <row r="18" spans="1:57" x14ac:dyDescent="0.25">
      <c r="A18" t="s">
        <v>134</v>
      </c>
      <c r="D18" s="162">
        <f>ROUND('AMT Gold Standard from 24 Feb26'!D18*(1+$B$16)*SUM(1+D$1),2)</f>
        <v>207.13</v>
      </c>
      <c r="E18" s="162">
        <f>ROUND('AMT Gold Standard from 24 Feb26'!E18*(1+$B$16)*SUM(1+E$1),2)</f>
        <v>319.22000000000003</v>
      </c>
      <c r="F18" s="81"/>
      <c r="G18" s="153">
        <f t="shared" si="34"/>
        <v>248.55599999999998</v>
      </c>
      <c r="H18" s="153">
        <f t="shared" si="34"/>
        <v>383.06400000000002</v>
      </c>
      <c r="I18" s="83"/>
      <c r="J18" s="155">
        <f t="shared" si="35"/>
        <v>41.425999999999988</v>
      </c>
      <c r="K18" s="155">
        <f t="shared" si="35"/>
        <v>63.843999999999994</v>
      </c>
      <c r="L18" s="83"/>
      <c r="M18" s="134">
        <f t="shared" ref="M18:N20" si="49">ROUND(D18*(1+$G$1*2),2)*SUM(1+$M$1)</f>
        <v>273.416</v>
      </c>
      <c r="N18" s="134">
        <f t="shared" si="49"/>
        <v>421.36600000000004</v>
      </c>
      <c r="P18" s="134">
        <f t="shared" si="36"/>
        <v>66.286000000000001</v>
      </c>
      <c r="Q18" s="134">
        <f t="shared" si="36"/>
        <v>102.14600000000002</v>
      </c>
      <c r="S18" s="141">
        <f t="shared" si="37"/>
        <v>0.10001770224818553</v>
      </c>
      <c r="T18" s="141">
        <f t="shared" si="37"/>
        <v>0.10000939790739928</v>
      </c>
      <c r="V18" s="41">
        <f t="shared" si="38"/>
        <v>414.26</v>
      </c>
      <c r="W18" s="41">
        <f t="shared" si="38"/>
        <v>638.44000000000005</v>
      </c>
      <c r="Y18" s="41">
        <f t="shared" ref="Y18:Z20" si="50">ROUND(D18/(1-$Y$1)*1.2,2)</f>
        <v>497.11</v>
      </c>
      <c r="Z18" s="41">
        <f t="shared" si="50"/>
        <v>766.13</v>
      </c>
      <c r="AB18" s="182">
        <f t="shared" si="39"/>
        <v>497.1</v>
      </c>
      <c r="AC18" s="182">
        <f t="shared" si="39"/>
        <v>766.1</v>
      </c>
      <c r="AE18" s="40">
        <f t="shared" si="40"/>
        <v>414.25000000000006</v>
      </c>
      <c r="AF18" s="40">
        <f t="shared" si="40"/>
        <v>638.41666666666674</v>
      </c>
      <c r="AH18" s="40">
        <f t="shared" si="41"/>
        <v>9.9999999999909051E-3</v>
      </c>
      <c r="AI18" s="40">
        <f t="shared" si="41"/>
        <v>2.9999999999972715E-2</v>
      </c>
      <c r="AK18" s="130">
        <f t="shared" si="42"/>
        <v>24.86</v>
      </c>
      <c r="AL18" s="130">
        <f t="shared" si="42"/>
        <v>38.31</v>
      </c>
      <c r="AM18" s="40"/>
      <c r="AN18" s="40">
        <f t="shared" si="43"/>
        <v>165.69400000000002</v>
      </c>
      <c r="AO18" s="40">
        <f t="shared" si="43"/>
        <v>255.34600000000006</v>
      </c>
      <c r="AP18" s="40"/>
      <c r="AQ18" s="144">
        <f t="shared" si="44"/>
        <v>9.9999999999999978E-2</v>
      </c>
      <c r="AR18" s="144">
        <f t="shared" si="44"/>
        <v>9.9999999999999978E-2</v>
      </c>
      <c r="AS18" s="40"/>
      <c r="AT18" s="146">
        <f t="shared" si="45"/>
        <v>0.39997586057065615</v>
      </c>
      <c r="AU18" s="146">
        <f t="shared" si="45"/>
        <v>0.39995301046300363</v>
      </c>
      <c r="AV18" s="40"/>
      <c r="AW18" s="76">
        <f t="shared" si="46"/>
        <v>0.5</v>
      </c>
      <c r="AX18" s="76">
        <f t="shared" si="46"/>
        <v>0.5</v>
      </c>
      <c r="AY18" s="42"/>
      <c r="AZ18" s="42">
        <f t="shared" si="47"/>
        <v>207.12</v>
      </c>
      <c r="BA18" s="42">
        <f t="shared" si="47"/>
        <v>319.19000000000005</v>
      </c>
      <c r="BB18" s="42"/>
      <c r="BC18" s="76">
        <f t="shared" si="48"/>
        <v>0.49997586057065613</v>
      </c>
      <c r="BD18" s="76">
        <f t="shared" si="48"/>
        <v>0.49995301046300361</v>
      </c>
      <c r="BE18" s="42"/>
    </row>
    <row r="19" spans="1:57" x14ac:dyDescent="0.25">
      <c r="A19" t="s">
        <v>135</v>
      </c>
      <c r="D19" s="162">
        <f>ROUND('AMT Gold Standard from 24 Feb26'!D19*(1+$B$16)*SUM(1+D$1),2)</f>
        <v>221.32</v>
      </c>
      <c r="E19" s="162">
        <f>ROUND('AMT Gold Standard from 24 Feb26'!E19*(1+$B$16)*SUM(1+E$1),2)</f>
        <v>347.46</v>
      </c>
      <c r="F19" s="81"/>
      <c r="G19" s="153">
        <f t="shared" si="34"/>
        <v>265.584</v>
      </c>
      <c r="H19" s="153">
        <f t="shared" si="34"/>
        <v>416.95199999999994</v>
      </c>
      <c r="J19" s="155">
        <f t="shared" si="35"/>
        <v>44.26400000000001</v>
      </c>
      <c r="K19" s="155">
        <f t="shared" si="35"/>
        <v>69.491999999999962</v>
      </c>
      <c r="M19" s="134">
        <f t="shared" si="49"/>
        <v>292.13800000000003</v>
      </c>
      <c r="N19" s="134">
        <f t="shared" si="49"/>
        <v>458.64500000000004</v>
      </c>
      <c r="P19" s="134">
        <f t="shared" si="36"/>
        <v>70.81800000000004</v>
      </c>
      <c r="Q19" s="134">
        <f t="shared" si="36"/>
        <v>111.18500000000006</v>
      </c>
      <c r="S19" s="141">
        <f t="shared" si="37"/>
        <v>0.10000602445930477</v>
      </c>
      <c r="T19" s="141">
        <f t="shared" si="37"/>
        <v>0.10001151211650264</v>
      </c>
      <c r="V19" s="41">
        <f t="shared" si="38"/>
        <v>442.64</v>
      </c>
      <c r="W19" s="41">
        <f t="shared" si="38"/>
        <v>694.92</v>
      </c>
      <c r="Y19" s="41">
        <f t="shared" si="50"/>
        <v>531.16999999999996</v>
      </c>
      <c r="Z19" s="41">
        <f t="shared" si="50"/>
        <v>833.9</v>
      </c>
      <c r="AB19" s="182">
        <f t="shared" si="39"/>
        <v>531.1</v>
      </c>
      <c r="AC19" s="182">
        <f t="shared" si="39"/>
        <v>833.9</v>
      </c>
      <c r="AE19" s="40">
        <f t="shared" si="40"/>
        <v>442.58333333333337</v>
      </c>
      <c r="AF19" s="40">
        <f t="shared" si="40"/>
        <v>694.91666666666663</v>
      </c>
      <c r="AH19" s="40">
        <f t="shared" si="41"/>
        <v>6.9999999999936335E-2</v>
      </c>
      <c r="AI19" s="40">
        <f t="shared" si="41"/>
        <v>0</v>
      </c>
      <c r="AK19" s="130">
        <f t="shared" si="42"/>
        <v>26.56</v>
      </c>
      <c r="AL19" s="130">
        <f t="shared" si="42"/>
        <v>41.7</v>
      </c>
      <c r="AM19" s="40"/>
      <c r="AN19" s="40">
        <f t="shared" si="43"/>
        <v>176.98600000000005</v>
      </c>
      <c r="AO19" s="40">
        <f t="shared" si="43"/>
        <v>277.96800000000002</v>
      </c>
      <c r="AP19" s="40"/>
      <c r="AQ19" s="144">
        <f t="shared" si="44"/>
        <v>0.10000000000000002</v>
      </c>
      <c r="AR19" s="144">
        <f t="shared" si="44"/>
        <v>9.999999999999995E-2</v>
      </c>
      <c r="AS19" s="40"/>
      <c r="AT19" s="146">
        <f t="shared" si="45"/>
        <v>0.39984185794324972</v>
      </c>
      <c r="AU19" s="146">
        <f t="shared" si="45"/>
        <v>0.4</v>
      </c>
      <c r="AV19" s="40"/>
      <c r="AW19" s="76">
        <f t="shared" si="46"/>
        <v>0.5</v>
      </c>
      <c r="AX19" s="76">
        <f t="shared" si="46"/>
        <v>0.5</v>
      </c>
      <c r="AY19" s="42"/>
      <c r="AZ19" s="42">
        <f t="shared" si="47"/>
        <v>221.25000000000006</v>
      </c>
      <c r="BA19" s="42">
        <f t="shared" si="47"/>
        <v>347.46</v>
      </c>
      <c r="BB19" s="42"/>
      <c r="BC19" s="76">
        <f t="shared" si="48"/>
        <v>0.49984185794324976</v>
      </c>
      <c r="BD19" s="76">
        <f t="shared" si="48"/>
        <v>0.5</v>
      </c>
      <c r="BE19" s="42"/>
    </row>
    <row r="20" spans="1:57" x14ac:dyDescent="0.25">
      <c r="A20" t="s">
        <v>136</v>
      </c>
      <c r="D20" s="162">
        <f>ROUND('AMT Gold Standard from 24 Feb26'!D20*(1+$B$16)*SUM(1+D$1),2)</f>
        <v>240.25</v>
      </c>
      <c r="E20" s="162">
        <f>ROUND('AMT Gold Standard from 24 Feb26'!E20*(1+$B$16)*SUM(1+E$1),2)</f>
        <v>372.57</v>
      </c>
      <c r="F20" s="81"/>
      <c r="G20" s="153">
        <f t="shared" si="34"/>
        <v>288.3</v>
      </c>
      <c r="H20" s="153">
        <f t="shared" si="34"/>
        <v>447.084</v>
      </c>
      <c r="J20" s="155">
        <f t="shared" si="35"/>
        <v>48.050000000000011</v>
      </c>
      <c r="K20" s="155">
        <f t="shared" si="35"/>
        <v>74.51400000000001</v>
      </c>
      <c r="M20" s="134">
        <f t="shared" si="49"/>
        <v>317.13000000000005</v>
      </c>
      <c r="N20" s="134">
        <f t="shared" si="49"/>
        <v>491.78800000000001</v>
      </c>
      <c r="P20" s="134">
        <f t="shared" si="36"/>
        <v>76.880000000000052</v>
      </c>
      <c r="Q20" s="134">
        <f t="shared" si="36"/>
        <v>119.21800000000002</v>
      </c>
      <c r="S20" s="141">
        <f t="shared" si="37"/>
        <v>9.9999999999999992E-2</v>
      </c>
      <c r="T20" s="141">
        <f t="shared" si="37"/>
        <v>0.10000357874582852</v>
      </c>
      <c r="V20" s="41">
        <f t="shared" si="38"/>
        <v>480.5</v>
      </c>
      <c r="W20" s="41">
        <f t="shared" si="38"/>
        <v>745.14</v>
      </c>
      <c r="Y20" s="41">
        <f t="shared" si="50"/>
        <v>576.6</v>
      </c>
      <c r="Z20" s="41">
        <f t="shared" si="50"/>
        <v>894.17</v>
      </c>
      <c r="AB20" s="182">
        <f t="shared" si="39"/>
        <v>576.6</v>
      </c>
      <c r="AC20" s="182">
        <f t="shared" si="39"/>
        <v>894.1</v>
      </c>
      <c r="AE20" s="40">
        <f t="shared" si="40"/>
        <v>480.50000000000006</v>
      </c>
      <c r="AF20" s="40">
        <f t="shared" si="40"/>
        <v>745.08333333333337</v>
      </c>
      <c r="AH20" s="40">
        <f t="shared" si="41"/>
        <v>0</v>
      </c>
      <c r="AI20" s="40">
        <f t="shared" si="41"/>
        <v>6.9999999999936335E-2</v>
      </c>
      <c r="AK20" s="130">
        <f t="shared" si="42"/>
        <v>28.83</v>
      </c>
      <c r="AL20" s="130">
        <f t="shared" si="42"/>
        <v>44.71</v>
      </c>
      <c r="AM20" s="40"/>
      <c r="AN20" s="40">
        <f t="shared" si="43"/>
        <v>192.2</v>
      </c>
      <c r="AO20" s="40">
        <f t="shared" si="43"/>
        <v>297.98600000000005</v>
      </c>
      <c r="AP20" s="40"/>
      <c r="AQ20" s="144">
        <f t="shared" si="44"/>
        <v>0.10000000000000002</v>
      </c>
      <c r="AR20" s="144">
        <f t="shared" si="44"/>
        <v>0.10000000000000002</v>
      </c>
      <c r="AS20" s="40"/>
      <c r="AT20" s="146">
        <f t="shared" si="45"/>
        <v>0.39999999999999997</v>
      </c>
      <c r="AU20" s="146">
        <f t="shared" si="45"/>
        <v>0.39990605792200129</v>
      </c>
      <c r="AV20" s="40"/>
      <c r="AW20" s="76">
        <f t="shared" si="46"/>
        <v>0.5</v>
      </c>
      <c r="AX20" s="76">
        <f t="shared" si="46"/>
        <v>0.5</v>
      </c>
      <c r="AY20" s="42"/>
      <c r="AZ20" s="42">
        <f t="shared" si="47"/>
        <v>240.25</v>
      </c>
      <c r="BA20" s="42">
        <f t="shared" si="47"/>
        <v>372.50000000000006</v>
      </c>
      <c r="BB20" s="42"/>
      <c r="BC20" s="76">
        <f t="shared" si="48"/>
        <v>0.5</v>
      </c>
      <c r="BD20" s="76">
        <f t="shared" si="48"/>
        <v>0.49990605792200132</v>
      </c>
      <c r="BE20" s="42"/>
    </row>
    <row r="21" spans="1:57" x14ac:dyDescent="0.25">
      <c r="C21" s="104"/>
      <c r="D21" s="104"/>
      <c r="H21" s="40"/>
      <c r="I21" s="75"/>
      <c r="J21" s="75"/>
      <c r="K21" s="75"/>
      <c r="L21" s="75"/>
      <c r="V21" s="40"/>
      <c r="X21" s="41"/>
      <c r="Y21" s="40"/>
      <c r="Z21" s="40"/>
      <c r="AK21" s="76"/>
      <c r="AL21" s="76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76"/>
      <c r="AX21" s="76"/>
      <c r="AY21" s="42"/>
      <c r="AZ21" s="42"/>
      <c r="BA21" s="42"/>
      <c r="BB21" s="42"/>
      <c r="BC21" s="76"/>
      <c r="BD21" s="76"/>
      <c r="BE21" s="40"/>
    </row>
    <row r="22" spans="1:57" x14ac:dyDescent="0.25">
      <c r="A22" s="4" t="s">
        <v>139</v>
      </c>
      <c r="X22" s="41"/>
      <c r="Y22" s="40"/>
      <c r="Z22" s="40"/>
      <c r="AK22" s="76"/>
      <c r="AL22" s="76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76"/>
      <c r="AX22" s="76"/>
      <c r="AY22" s="42"/>
      <c r="AZ22" s="42"/>
      <c r="BA22" s="42"/>
      <c r="BB22" s="42"/>
      <c r="BC22" s="76"/>
      <c r="BD22" s="76"/>
      <c r="BE22" s="40"/>
    </row>
    <row r="23" spans="1:57" x14ac:dyDescent="0.25">
      <c r="A23" s="53"/>
      <c r="X23" s="41"/>
      <c r="Y23" s="40"/>
      <c r="Z23" s="40"/>
      <c r="AK23" s="76"/>
      <c r="AL23" s="76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76"/>
      <c r="AX23" s="76"/>
      <c r="AY23" s="42"/>
      <c r="AZ23" s="42"/>
      <c r="BA23" s="42"/>
      <c r="BB23" s="42"/>
      <c r="BC23" s="76"/>
      <c r="BD23" s="76"/>
      <c r="BE23" s="40"/>
    </row>
    <row r="24" spans="1:57" x14ac:dyDescent="0.25">
      <c r="A24" s="100" t="s">
        <v>132</v>
      </c>
      <c r="B24" s="52" t="s">
        <v>140</v>
      </c>
      <c r="D24" s="202" t="s">
        <v>141</v>
      </c>
      <c r="E24" s="202"/>
      <c r="F24" s="202"/>
      <c r="G24" s="202"/>
      <c r="H24" s="202"/>
    </row>
    <row r="25" spans="1:57" x14ac:dyDescent="0.25">
      <c r="A25" s="100" t="s">
        <v>137</v>
      </c>
      <c r="B25" s="52" t="s">
        <v>140</v>
      </c>
      <c r="F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</row>
    <row r="26" spans="1:57" x14ac:dyDescent="0.25">
      <c r="A26" s="100" t="s">
        <v>142</v>
      </c>
      <c r="B26" s="52" t="s">
        <v>140</v>
      </c>
      <c r="F26" s="40"/>
      <c r="G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</row>
    <row r="27" spans="1:57" x14ac:dyDescent="0.25">
      <c r="F27" s="40"/>
      <c r="G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</row>
    <row r="28" spans="1:57" ht="30" x14ac:dyDescent="0.25">
      <c r="A28" s="99" t="s">
        <v>143</v>
      </c>
      <c r="B28" s="52" t="s">
        <v>144</v>
      </c>
      <c r="F28" s="40"/>
      <c r="G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</row>
    <row r="29" spans="1:57" x14ac:dyDescent="0.25">
      <c r="G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</row>
    <row r="30" spans="1:57" ht="45" customHeight="1" x14ac:dyDescent="0.25">
      <c r="A30" s="159" t="s">
        <v>145</v>
      </c>
      <c r="B30" s="246" t="s">
        <v>146</v>
      </c>
      <c r="C30" s="246"/>
      <c r="D30" s="246"/>
      <c r="E30" s="246"/>
      <c r="F30" s="99"/>
      <c r="AA30" s="40"/>
      <c r="AB30" s="40"/>
      <c r="AC30" s="40"/>
      <c r="AD30" s="40"/>
      <c r="AE30" s="40"/>
      <c r="AF30" s="40"/>
      <c r="AG30" s="40"/>
      <c r="AH30" s="40"/>
      <c r="AI30" s="40"/>
      <c r="AJ30" s="40"/>
    </row>
    <row r="31" spans="1:57" ht="45" customHeight="1" x14ac:dyDescent="0.25">
      <c r="A31" s="159" t="s">
        <v>147</v>
      </c>
      <c r="B31" s="246" t="s">
        <v>148</v>
      </c>
      <c r="C31" s="246"/>
      <c r="D31" s="246"/>
      <c r="E31" s="246"/>
      <c r="F31" s="246"/>
      <c r="AA31" s="40"/>
      <c r="AB31" s="40"/>
      <c r="AC31" s="40"/>
      <c r="AD31" s="40"/>
      <c r="AE31" s="40"/>
      <c r="AF31" s="40"/>
      <c r="AG31" s="40"/>
      <c r="AH31" s="40"/>
      <c r="AI31" s="40"/>
      <c r="AJ31" s="40"/>
    </row>
    <row r="32" spans="1:57" x14ac:dyDescent="0.25"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</row>
    <row r="33" spans="1:57" x14ac:dyDescent="0.25">
      <c r="A33" s="100" t="s">
        <v>149</v>
      </c>
      <c r="B33" s="101" t="s">
        <v>150</v>
      </c>
      <c r="C33" s="52"/>
      <c r="AA33" s="40"/>
      <c r="AB33" s="40"/>
      <c r="AC33" s="40"/>
      <c r="AD33" s="40"/>
      <c r="AE33" s="40"/>
      <c r="AF33" s="40"/>
      <c r="AG33" s="40"/>
      <c r="AH33" s="40"/>
      <c r="AI33" s="40"/>
      <c r="AJ33" s="40"/>
    </row>
    <row r="34" spans="1:57" x14ac:dyDescent="0.25">
      <c r="A34" s="100" t="s">
        <v>151</v>
      </c>
      <c r="B34" s="101" t="s">
        <v>152</v>
      </c>
      <c r="C34" s="52"/>
    </row>
    <row r="35" spans="1:57" x14ac:dyDescent="0.25">
      <c r="A35" s="100" t="s">
        <v>153</v>
      </c>
      <c r="B35" s="101" t="s">
        <v>154</v>
      </c>
      <c r="C35" s="52"/>
    </row>
    <row r="36" spans="1:57" s="96" customFormat="1" ht="45" customHeight="1" x14ac:dyDescent="0.25">
      <c r="D36" s="244" t="s">
        <v>128</v>
      </c>
      <c r="E36" s="244"/>
      <c r="F36" s="95"/>
      <c r="G36" s="245" t="s">
        <v>3</v>
      </c>
      <c r="H36" s="245"/>
      <c r="I36" s="18"/>
      <c r="J36" s="245" t="s">
        <v>4</v>
      </c>
      <c r="K36" s="245"/>
      <c r="L36" s="18"/>
      <c r="M36" s="219" t="s">
        <v>5</v>
      </c>
      <c r="N36" s="219"/>
      <c r="O36" s="18"/>
      <c r="P36" s="219" t="s">
        <v>6</v>
      </c>
      <c r="Q36" s="219"/>
      <c r="R36" s="18"/>
      <c r="S36" s="219" t="s">
        <v>7</v>
      </c>
      <c r="T36" s="219"/>
      <c r="U36" s="18"/>
      <c r="V36" s="214" t="s">
        <v>8</v>
      </c>
      <c r="W36" s="214"/>
      <c r="X36" s="52"/>
      <c r="Y36" s="211" t="s">
        <v>9</v>
      </c>
      <c r="Z36" s="211"/>
      <c r="AA36" s="1"/>
      <c r="AB36" s="215" t="s">
        <v>10</v>
      </c>
      <c r="AC36" s="215"/>
      <c r="AD36" s="1"/>
      <c r="AE36" s="211" t="s">
        <v>11</v>
      </c>
      <c r="AF36" s="211"/>
      <c r="AG36" s="1"/>
      <c r="AH36" s="211" t="s">
        <v>12</v>
      </c>
      <c r="AI36" s="211"/>
      <c r="AJ36" s="1"/>
      <c r="AK36" s="211" t="s">
        <v>13</v>
      </c>
      <c r="AL36" s="211"/>
      <c r="AM36" s="1"/>
      <c r="AN36" s="211" t="s">
        <v>14</v>
      </c>
      <c r="AO36" s="211"/>
      <c r="AP36" s="1"/>
      <c r="AQ36" s="212" t="s">
        <v>15</v>
      </c>
      <c r="AR36" s="212"/>
      <c r="AS36" s="1"/>
      <c r="AT36" s="211" t="s">
        <v>16</v>
      </c>
      <c r="AU36" s="211"/>
      <c r="AV36" s="1"/>
      <c r="AW36" s="213" t="s">
        <v>17</v>
      </c>
      <c r="AX36" s="213"/>
      <c r="AY36" s="1"/>
      <c r="AZ36" s="213" t="s">
        <v>18</v>
      </c>
      <c r="BA36" s="213"/>
      <c r="BB36" s="1"/>
      <c r="BC36" s="213" t="s">
        <v>129</v>
      </c>
      <c r="BD36" s="213"/>
      <c r="BE36" s="1"/>
    </row>
    <row r="37" spans="1:57" s="96" customFormat="1" ht="45" customHeight="1" x14ac:dyDescent="0.25">
      <c r="D37" s="195" t="s">
        <v>130</v>
      </c>
      <c r="E37" s="147" t="s">
        <v>131</v>
      </c>
      <c r="F37" s="35"/>
      <c r="G37" s="151" t="s">
        <v>130</v>
      </c>
      <c r="H37" s="152" t="s">
        <v>131</v>
      </c>
      <c r="I37" s="52"/>
      <c r="J37" s="151" t="s">
        <v>130</v>
      </c>
      <c r="K37" s="152" t="s">
        <v>131</v>
      </c>
      <c r="L37" s="52"/>
      <c r="M37" s="132" t="s">
        <v>130</v>
      </c>
      <c r="N37" s="133" t="s">
        <v>131</v>
      </c>
      <c r="O37" s="52"/>
      <c r="P37" s="132" t="s">
        <v>130</v>
      </c>
      <c r="Q37" s="133" t="s">
        <v>131</v>
      </c>
      <c r="R37" s="52"/>
      <c r="S37" s="132" t="s">
        <v>130</v>
      </c>
      <c r="T37" s="133" t="s">
        <v>131</v>
      </c>
      <c r="U37" s="52"/>
      <c r="V37" s="96" t="s">
        <v>130</v>
      </c>
      <c r="W37" s="95" t="s">
        <v>131</v>
      </c>
      <c r="X37" s="52"/>
      <c r="Y37" s="96" t="s">
        <v>130</v>
      </c>
      <c r="Z37" s="95" t="s">
        <v>131</v>
      </c>
      <c r="AA37" s="52"/>
      <c r="AB37" s="96" t="s">
        <v>130</v>
      </c>
      <c r="AC37" s="95" t="s">
        <v>131</v>
      </c>
      <c r="AD37" s="52"/>
      <c r="AE37" s="96" t="s">
        <v>130</v>
      </c>
      <c r="AF37" s="95" t="s">
        <v>131</v>
      </c>
      <c r="AG37" s="34"/>
      <c r="AH37" s="96" t="s">
        <v>130</v>
      </c>
      <c r="AI37" s="95" t="s">
        <v>131</v>
      </c>
      <c r="AJ37" s="52"/>
      <c r="AK37" s="128" t="s">
        <v>130</v>
      </c>
      <c r="AL37" s="129" t="s">
        <v>131</v>
      </c>
      <c r="AM37" s="52"/>
      <c r="AN37" s="96" t="s">
        <v>130</v>
      </c>
      <c r="AO37" s="95" t="s">
        <v>131</v>
      </c>
      <c r="AP37" s="52"/>
      <c r="AQ37" s="196" t="s">
        <v>130</v>
      </c>
      <c r="AR37" s="142" t="s">
        <v>131</v>
      </c>
      <c r="AS37" s="52"/>
      <c r="AT37" s="197" t="s">
        <v>130</v>
      </c>
      <c r="AU37" s="129" t="s">
        <v>131</v>
      </c>
      <c r="AV37" s="52"/>
      <c r="AW37" s="96" t="s">
        <v>130</v>
      </c>
      <c r="AX37" s="95" t="s">
        <v>131</v>
      </c>
      <c r="AY37" s="52"/>
      <c r="AZ37" s="96" t="s">
        <v>130</v>
      </c>
      <c r="BA37" s="95" t="s">
        <v>131</v>
      </c>
      <c r="BB37" s="52"/>
      <c r="BC37" s="139" t="s">
        <v>130</v>
      </c>
      <c r="BD37" s="95" t="s">
        <v>131</v>
      </c>
      <c r="BE37" s="1"/>
    </row>
    <row r="38" spans="1:57" x14ac:dyDescent="0.25">
      <c r="B38" s="45"/>
      <c r="D38" s="149"/>
      <c r="E38" s="149"/>
      <c r="F38" s="81"/>
      <c r="G38" s="153"/>
      <c r="H38" s="153"/>
      <c r="J38" s="155"/>
      <c r="K38" s="155"/>
      <c r="L38" s="41"/>
      <c r="M38" s="161"/>
      <c r="N38" s="161"/>
      <c r="P38" s="134"/>
      <c r="Q38" s="134"/>
      <c r="S38" s="141"/>
      <c r="T38" s="141"/>
      <c r="V38" s="41"/>
      <c r="W38" s="41"/>
      <c r="Y38" s="41"/>
      <c r="Z38" s="41"/>
      <c r="AB38" s="182"/>
      <c r="AC38" s="182"/>
      <c r="AE38" s="40"/>
      <c r="AF38" s="40"/>
      <c r="AH38" s="40"/>
      <c r="AI38" s="40"/>
      <c r="AK38" s="130"/>
      <c r="AL38" s="130"/>
      <c r="AM38" s="40"/>
      <c r="AN38" s="40"/>
      <c r="AO38" s="40"/>
      <c r="AP38" s="40"/>
      <c r="AQ38" s="144"/>
      <c r="AR38" s="144"/>
      <c r="AS38" s="40"/>
      <c r="AT38" s="146"/>
      <c r="AU38" s="146"/>
      <c r="AV38" s="40"/>
      <c r="AW38" s="76"/>
      <c r="AX38" s="76"/>
      <c r="AY38" s="42"/>
      <c r="AZ38" s="42"/>
      <c r="BA38" s="42"/>
      <c r="BB38" s="42"/>
      <c r="BC38" s="76"/>
      <c r="BD38" s="76"/>
      <c r="BE38" s="42"/>
    </row>
    <row r="39" spans="1:57" ht="39.950000000000003" customHeight="1" x14ac:dyDescent="0.25">
      <c r="A39" s="247" t="s">
        <v>63</v>
      </c>
      <c r="B39" s="247"/>
      <c r="C39" s="247"/>
      <c r="D39" s="162">
        <v>15</v>
      </c>
      <c r="E39" s="162">
        <v>15</v>
      </c>
      <c r="F39" s="81"/>
      <c r="G39" s="153">
        <f>D39*SUM(1+$G$1/$Y$1)</f>
        <v>18</v>
      </c>
      <c r="H39" s="153">
        <f>E39*SUM(1+$G$1/$Y$1)</f>
        <v>18</v>
      </c>
      <c r="J39" s="155">
        <f t="shared" ref="J39:K39" si="51">G39-D39</f>
        <v>3</v>
      </c>
      <c r="K39" s="155">
        <f t="shared" si="51"/>
        <v>3</v>
      </c>
      <c r="L39" s="41"/>
      <c r="M39" s="161">
        <f t="shared" ref="M39:N39" si="52">ROUND(D39*(1+$G$1*2),2)*SUM(1+$M$1)</f>
        <v>19.8</v>
      </c>
      <c r="N39" s="161">
        <f t="shared" si="52"/>
        <v>19.8</v>
      </c>
      <c r="P39" s="134">
        <f t="shared" ref="P39:Q39" si="53">M39-D39</f>
        <v>4.8000000000000007</v>
      </c>
      <c r="Q39" s="134">
        <f t="shared" si="53"/>
        <v>4.8000000000000007</v>
      </c>
      <c r="S39" s="141">
        <f>AK39/G39</f>
        <v>0.1</v>
      </c>
      <c r="T39" s="141">
        <f>AL39/H39</f>
        <v>0.1</v>
      </c>
      <c r="V39" s="41">
        <f>SUM(D39/(1-$Y$1))</f>
        <v>30</v>
      </c>
      <c r="W39" s="41">
        <f>SUM(E39/(1-$Y$1))</f>
        <v>30</v>
      </c>
      <c r="Y39" s="41">
        <f t="shared" ref="Y39:Z39" si="54">ROUND(D39/(1-$Y$1)*1.2,2)</f>
        <v>36</v>
      </c>
      <c r="Z39" s="41">
        <f t="shared" si="54"/>
        <v>36</v>
      </c>
      <c r="AB39" s="182">
        <f t="shared" ref="AB39:AC39" si="55">ROUNDDOWN(D39/(1-$Y$1)*1.2,1)</f>
        <v>36</v>
      </c>
      <c r="AC39" s="182">
        <f t="shared" si="55"/>
        <v>36</v>
      </c>
      <c r="AE39" s="40">
        <f t="shared" ref="AE39:AF39" si="56">AB39/1.2</f>
        <v>30</v>
      </c>
      <c r="AF39" s="40">
        <f t="shared" si="56"/>
        <v>30</v>
      </c>
      <c r="AH39" s="40">
        <f t="shared" ref="AH39:AI39" si="57">Y39-AB39</f>
        <v>0</v>
      </c>
      <c r="AI39" s="40">
        <f t="shared" si="57"/>
        <v>0</v>
      </c>
      <c r="AK39" s="130">
        <f t="shared" ref="AK39" si="58">ROUND(M39*(1-(1/(1+$AL$1))),2)</f>
        <v>1.8</v>
      </c>
      <c r="AL39" s="130">
        <f>ROUND(N39*(1-(1/(1+$AL$1))),2)</f>
        <v>1.8</v>
      </c>
      <c r="AM39" s="40"/>
      <c r="AN39" s="40">
        <f t="shared" ref="AN39:AO39" si="59">SUM(V39-G39)-AH39</f>
        <v>12</v>
      </c>
      <c r="AO39" s="40">
        <f t="shared" si="59"/>
        <v>12</v>
      </c>
      <c r="AP39" s="40"/>
      <c r="AQ39" s="144">
        <f>(SUM(G39-D39)/D39*$Y$1)</f>
        <v>0.1</v>
      </c>
      <c r="AR39" s="144">
        <f>(SUM(H39-E39)/E39*$Y$1)</f>
        <v>0.1</v>
      </c>
      <c r="AS39" s="40"/>
      <c r="AT39" s="146">
        <f>AN39/V39</f>
        <v>0.4</v>
      </c>
      <c r="AU39" s="146">
        <f>AO39/W39</f>
        <v>0.4</v>
      </c>
      <c r="AV39" s="40"/>
      <c r="AW39" s="76">
        <f>D39/V39</f>
        <v>0.5</v>
      </c>
      <c r="AX39" s="76">
        <f>E39/W39</f>
        <v>0.5</v>
      </c>
      <c r="AY39" s="42"/>
      <c r="AZ39" s="42">
        <f>J39+AN39</f>
        <v>15</v>
      </c>
      <c r="BA39" s="42">
        <f>K39+AO39</f>
        <v>15</v>
      </c>
      <c r="BB39" s="42"/>
      <c r="BC39" s="76">
        <f>AZ39/(D39/$Y$1)</f>
        <v>0.5</v>
      </c>
      <c r="BD39" s="76">
        <f>BA39/(E39/$Y$1)</f>
        <v>0.5</v>
      </c>
      <c r="BE39" s="42"/>
    </row>
    <row r="40" spans="1:57" x14ac:dyDescent="0.25">
      <c r="A40" s="52"/>
      <c r="B40" s="52"/>
      <c r="C40" s="98"/>
      <c r="D40" s="52"/>
      <c r="E40" s="52"/>
      <c r="F40" s="40"/>
    </row>
    <row r="41" spans="1:57" x14ac:dyDescent="0.25">
      <c r="A41" s="45" t="s">
        <v>64</v>
      </c>
      <c r="B41" s="45" t="s">
        <v>65</v>
      </c>
      <c r="C41" s="45" t="s">
        <v>66</v>
      </c>
    </row>
    <row r="42" spans="1:57" s="122" customFormat="1" ht="30" customHeight="1" x14ac:dyDescent="0.25">
      <c r="A42" s="120"/>
      <c r="B42" s="121" t="s">
        <v>67</v>
      </c>
      <c r="C42" s="248" t="s">
        <v>68</v>
      </c>
      <c r="D42" s="248"/>
      <c r="E42" s="248"/>
      <c r="F42" s="248"/>
      <c r="G42" s="248"/>
      <c r="H42" s="248"/>
      <c r="I42" s="248"/>
      <c r="J42" s="248"/>
      <c r="K42" s="248"/>
      <c r="L42" s="248"/>
      <c r="M42" s="248"/>
    </row>
    <row r="43" spans="1:57" s="122" customFormat="1" ht="30" customHeight="1" x14ac:dyDescent="0.25">
      <c r="A43" s="120"/>
      <c r="B43" s="121"/>
      <c r="C43" s="248"/>
      <c r="D43" s="248"/>
      <c r="E43" s="248"/>
      <c r="F43" s="248"/>
      <c r="G43" s="248"/>
      <c r="H43" s="248"/>
      <c r="I43" s="248"/>
      <c r="J43" s="248"/>
      <c r="K43" s="248"/>
      <c r="L43" s="248"/>
      <c r="M43" s="248"/>
    </row>
    <row r="44" spans="1:57" x14ac:dyDescent="0.25">
      <c r="B44" s="45" t="s">
        <v>69</v>
      </c>
      <c r="C44" s="45" t="s">
        <v>70</v>
      </c>
      <c r="G44" s="40"/>
    </row>
    <row r="45" spans="1:57" x14ac:dyDescent="0.25">
      <c r="B45" s="45" t="s">
        <v>71</v>
      </c>
      <c r="C45" s="45" t="s">
        <v>72</v>
      </c>
      <c r="G45" s="40"/>
    </row>
    <row r="46" spans="1:57" x14ac:dyDescent="0.25">
      <c r="A46" s="52"/>
      <c r="B46" s="52"/>
      <c r="C46" s="98"/>
      <c r="D46" s="52"/>
      <c r="E46" s="52"/>
      <c r="F46" s="40"/>
    </row>
    <row r="47" spans="1:57" x14ac:dyDescent="0.25">
      <c r="A47" s="46" t="s">
        <v>73</v>
      </c>
      <c r="B47" s="1" t="s">
        <v>74</v>
      </c>
      <c r="C47" s="46" t="s">
        <v>75</v>
      </c>
      <c r="D47" s="25"/>
      <c r="F47" s="47"/>
    </row>
    <row r="48" spans="1:57" x14ac:dyDescent="0.25">
      <c r="A48" s="25"/>
      <c r="B48" s="1" t="s">
        <v>76</v>
      </c>
      <c r="C48" s="47" t="s">
        <v>77</v>
      </c>
      <c r="D48" s="25"/>
      <c r="F48" s="47"/>
    </row>
    <row r="49" spans="1:12" x14ac:dyDescent="0.25">
      <c r="A49" s="25"/>
      <c r="B49" s="1" t="s">
        <v>78</v>
      </c>
      <c r="C49" s="47" t="s">
        <v>79</v>
      </c>
      <c r="D49" s="25"/>
      <c r="F49" s="47"/>
    </row>
    <row r="50" spans="1:12" x14ac:dyDescent="0.25">
      <c r="A50" s="25"/>
      <c r="B50" s="1" t="s">
        <v>80</v>
      </c>
      <c r="C50" s="47" t="s">
        <v>81</v>
      </c>
      <c r="D50" s="25"/>
      <c r="F50" s="47"/>
    </row>
    <row r="51" spans="1:12" x14ac:dyDescent="0.25">
      <c r="F51" s="52"/>
      <c r="G51" s="52"/>
      <c r="H51" s="52"/>
      <c r="I51" s="52"/>
      <c r="J51" s="52"/>
      <c r="K51" s="52"/>
      <c r="L51" s="52"/>
    </row>
    <row r="52" spans="1:12" x14ac:dyDescent="0.25">
      <c r="A52" s="1" t="s">
        <v>82</v>
      </c>
      <c r="C52" s="1" t="s">
        <v>83</v>
      </c>
      <c r="F52" s="99"/>
      <c r="G52" s="99"/>
      <c r="H52" s="99"/>
      <c r="I52" s="99"/>
      <c r="J52" s="99"/>
      <c r="K52" s="99"/>
      <c r="L52" s="99"/>
    </row>
    <row r="53" spans="1:12" x14ac:dyDescent="0.25">
      <c r="A53" s="99"/>
      <c r="F53" s="99"/>
      <c r="G53" s="99"/>
      <c r="H53" s="99"/>
      <c r="I53" s="99"/>
      <c r="J53" s="99"/>
      <c r="K53" s="99"/>
      <c r="L53" s="99"/>
    </row>
    <row r="54" spans="1:12" x14ac:dyDescent="0.25">
      <c r="A54" s="52" t="s">
        <v>84</v>
      </c>
      <c r="B54" s="52"/>
      <c r="C54" s="52"/>
      <c r="D54" s="52"/>
      <c r="E54" s="52"/>
      <c r="F54" s="99"/>
      <c r="G54" s="99"/>
      <c r="H54" s="99"/>
      <c r="I54" s="99"/>
      <c r="J54" s="99"/>
      <c r="K54" s="99"/>
      <c r="L54" s="99"/>
    </row>
  </sheetData>
  <mergeCells count="40">
    <mergeCell ref="AZ36:BA36"/>
    <mergeCell ref="BC36:BD36"/>
    <mergeCell ref="A39:C39"/>
    <mergeCell ref="C42:M43"/>
    <mergeCell ref="AH36:AI36"/>
    <mergeCell ref="AK36:AL36"/>
    <mergeCell ref="AN36:AO36"/>
    <mergeCell ref="AQ36:AR36"/>
    <mergeCell ref="AT36:AU36"/>
    <mergeCell ref="AW36:AX36"/>
    <mergeCell ref="P36:Q36"/>
    <mergeCell ref="S36:T36"/>
    <mergeCell ref="V36:W36"/>
    <mergeCell ref="Y36:Z36"/>
    <mergeCell ref="AB36:AC36"/>
    <mergeCell ref="AE36:AF36"/>
    <mergeCell ref="B30:E30"/>
    <mergeCell ref="B31:F31"/>
    <mergeCell ref="D36:E36"/>
    <mergeCell ref="G36:H36"/>
    <mergeCell ref="J36:K36"/>
    <mergeCell ref="M36:N36"/>
    <mergeCell ref="AN2:AO2"/>
    <mergeCell ref="AQ2:AR2"/>
    <mergeCell ref="AT2:AU2"/>
    <mergeCell ref="AW2:AX2"/>
    <mergeCell ref="S2:T2"/>
    <mergeCell ref="AZ2:BA2"/>
    <mergeCell ref="BC2:BD2"/>
    <mergeCell ref="V2:W2"/>
    <mergeCell ref="Y2:Z2"/>
    <mergeCell ref="AB2:AC2"/>
    <mergeCell ref="AE2:AF2"/>
    <mergeCell ref="AH2:AI2"/>
    <mergeCell ref="AK2:AL2"/>
    <mergeCell ref="D2:E2"/>
    <mergeCell ref="G2:H2"/>
    <mergeCell ref="J2:K2"/>
    <mergeCell ref="M2:N2"/>
    <mergeCell ref="P2:Q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6E8A7-D88F-4E02-9334-DB6E8DA521DE}">
  <sheetPr>
    <tabColor rgb="FFFFC000"/>
  </sheetPr>
  <dimension ref="A1:BE54"/>
  <sheetViews>
    <sheetView zoomScale="85" zoomScaleNormal="8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2" sqref="B2"/>
    </sheetView>
  </sheetViews>
  <sheetFormatPr defaultColWidth="8.85546875" defaultRowHeight="15" x14ac:dyDescent="0.25"/>
  <cols>
    <col min="1" max="1" width="27" style="1" customWidth="1"/>
    <col min="2" max="2" width="8.85546875" style="1" customWidth="1"/>
    <col min="3" max="3" width="32.140625" style="1" customWidth="1"/>
    <col min="4" max="5" width="10" style="1" customWidth="1"/>
    <col min="6" max="6" width="3.7109375" style="1" customWidth="1"/>
    <col min="7" max="8" width="9.7109375" style="1" customWidth="1"/>
    <col min="9" max="9" width="3.7109375" style="1" customWidth="1"/>
    <col min="10" max="11" width="9.7109375" style="1" customWidth="1"/>
    <col min="12" max="12" width="3.7109375" style="1" customWidth="1"/>
    <col min="13" max="13" width="13" style="1" customWidth="1"/>
    <col min="14" max="14" width="11.85546875" style="1" bestFit="1" customWidth="1"/>
    <col min="15" max="15" width="3.7109375" style="1" customWidth="1"/>
    <col min="16" max="17" width="9.7109375" style="1" customWidth="1"/>
    <col min="18" max="18" width="3.7109375" style="1" customWidth="1"/>
    <col min="19" max="20" width="9.7109375" style="1" customWidth="1"/>
    <col min="21" max="21" width="5.140625" style="1" customWidth="1"/>
    <col min="22" max="22" width="12.42578125" style="1" customWidth="1"/>
    <col min="23" max="23" width="11.85546875" style="1" customWidth="1"/>
    <col min="24" max="24" width="6.140625" style="1" customWidth="1"/>
    <col min="25" max="25" width="12.42578125" style="1" customWidth="1"/>
    <col min="26" max="26" width="11.85546875" style="1" customWidth="1"/>
    <col min="27" max="27" width="3.7109375" style="1" customWidth="1"/>
    <col min="28" max="29" width="9.7109375" style="1" customWidth="1"/>
    <col min="30" max="30" width="3.7109375" style="1" customWidth="1"/>
    <col min="31" max="32" width="9.7109375" style="1" customWidth="1"/>
    <col min="33" max="33" width="3.7109375" style="1" customWidth="1"/>
    <col min="34" max="35" width="9.7109375" style="1" customWidth="1"/>
    <col min="36" max="36" width="3.7109375" style="1" customWidth="1"/>
    <col min="37" max="38" width="9.7109375" style="1" customWidth="1"/>
    <col min="39" max="39" width="3.7109375" style="1" customWidth="1"/>
    <col min="40" max="41" width="9.7109375" style="1" customWidth="1"/>
    <col min="42" max="42" width="3.7109375" style="1" customWidth="1"/>
    <col min="43" max="44" width="9.7109375" style="1" customWidth="1"/>
    <col min="45" max="45" width="3.7109375" style="1" customWidth="1"/>
    <col min="46" max="47" width="9.7109375" style="1" customWidth="1"/>
    <col min="48" max="48" width="3.7109375" style="1" customWidth="1"/>
    <col min="49" max="50" width="9.7109375" style="1" customWidth="1"/>
    <col min="51" max="51" width="3.7109375" style="1" customWidth="1"/>
    <col min="52" max="53" width="9.7109375" style="1" customWidth="1"/>
    <col min="54" max="54" width="3.7109375" style="1" customWidth="1"/>
    <col min="55" max="55" width="11.85546875" style="1" customWidth="1"/>
    <col min="56" max="56" width="10.42578125" style="1" customWidth="1"/>
    <col min="57" max="57" width="8.140625" style="1" customWidth="1"/>
    <col min="58" max="16384" width="8.85546875" style="1"/>
  </cols>
  <sheetData>
    <row r="1" spans="1:57" ht="15" customHeight="1" thickBot="1" x14ac:dyDescent="0.3">
      <c r="A1" s="184" t="s">
        <v>174</v>
      </c>
      <c r="B1" s="55"/>
      <c r="C1" s="171" t="s">
        <v>0</v>
      </c>
      <c r="D1" s="163">
        <v>0.03</v>
      </c>
      <c r="F1" s="18"/>
      <c r="G1" s="194">
        <v>0.1</v>
      </c>
      <c r="H1" s="170" t="s">
        <v>1</v>
      </c>
      <c r="I1" s="18"/>
      <c r="J1" s="18"/>
      <c r="K1" s="18"/>
      <c r="L1" s="18"/>
      <c r="M1" s="92">
        <v>0.1</v>
      </c>
      <c r="N1" s="18"/>
      <c r="O1" s="18"/>
      <c r="P1" s="18"/>
      <c r="Q1" s="18"/>
      <c r="R1" s="18"/>
      <c r="S1" s="18"/>
      <c r="T1" s="18"/>
      <c r="U1" s="18"/>
      <c r="V1" s="92"/>
      <c r="W1" s="18"/>
      <c r="X1" s="92"/>
      <c r="Y1" s="91">
        <v>0.5</v>
      </c>
      <c r="Z1" s="18"/>
      <c r="AL1" s="83">
        <v>0.1</v>
      </c>
    </row>
    <row r="2" spans="1:57" ht="48" customHeight="1" x14ac:dyDescent="0.25">
      <c r="A2" s="97"/>
      <c r="D2" s="244" t="s">
        <v>128</v>
      </c>
      <c r="E2" s="244"/>
      <c r="F2" s="95"/>
      <c r="G2" s="245" t="s">
        <v>3</v>
      </c>
      <c r="H2" s="245"/>
      <c r="I2" s="18"/>
      <c r="J2" s="245" t="s">
        <v>4</v>
      </c>
      <c r="K2" s="245"/>
      <c r="L2" s="18"/>
      <c r="M2" s="219" t="s">
        <v>5</v>
      </c>
      <c r="N2" s="219"/>
      <c r="O2" s="18"/>
      <c r="P2" s="219" t="s">
        <v>6</v>
      </c>
      <c r="Q2" s="219"/>
      <c r="R2" s="18"/>
      <c r="S2" s="219" t="s">
        <v>7</v>
      </c>
      <c r="T2" s="219"/>
      <c r="U2" s="18"/>
      <c r="V2" s="214" t="s">
        <v>8</v>
      </c>
      <c r="W2" s="214"/>
      <c r="X2" s="52"/>
      <c r="Y2" s="211" t="s">
        <v>9</v>
      </c>
      <c r="Z2" s="211"/>
      <c r="AB2" s="215" t="s">
        <v>10</v>
      </c>
      <c r="AC2" s="215"/>
      <c r="AE2" s="211" t="s">
        <v>11</v>
      </c>
      <c r="AF2" s="211"/>
      <c r="AH2" s="211" t="s">
        <v>12</v>
      </c>
      <c r="AI2" s="211"/>
      <c r="AK2" s="211" t="s">
        <v>13</v>
      </c>
      <c r="AL2" s="211"/>
      <c r="AN2" s="211" t="s">
        <v>14</v>
      </c>
      <c r="AO2" s="211"/>
      <c r="AQ2" s="212" t="s">
        <v>15</v>
      </c>
      <c r="AR2" s="212"/>
      <c r="AT2" s="211" t="s">
        <v>16</v>
      </c>
      <c r="AU2" s="211"/>
      <c r="AW2" s="213" t="s">
        <v>17</v>
      </c>
      <c r="AX2" s="213"/>
      <c r="AZ2" s="213" t="s">
        <v>18</v>
      </c>
      <c r="BA2" s="213"/>
      <c r="BC2" s="213" t="s">
        <v>129</v>
      </c>
      <c r="BD2" s="213"/>
    </row>
    <row r="3" spans="1:57" s="52" customFormat="1" ht="60" customHeight="1" x14ac:dyDescent="0.25">
      <c r="A3" s="97"/>
      <c r="D3" s="195" t="s">
        <v>130</v>
      </c>
      <c r="E3" s="147" t="s">
        <v>131</v>
      </c>
      <c r="F3" s="35"/>
      <c r="G3" s="151" t="s">
        <v>130</v>
      </c>
      <c r="H3" s="152" t="s">
        <v>131</v>
      </c>
      <c r="J3" s="151" t="s">
        <v>130</v>
      </c>
      <c r="K3" s="152" t="s">
        <v>131</v>
      </c>
      <c r="M3" s="132" t="s">
        <v>130</v>
      </c>
      <c r="N3" s="133" t="s">
        <v>131</v>
      </c>
      <c r="P3" s="132" t="s">
        <v>130</v>
      </c>
      <c r="Q3" s="133" t="s">
        <v>131</v>
      </c>
      <c r="S3" s="132" t="s">
        <v>130</v>
      </c>
      <c r="T3" s="133" t="s">
        <v>131</v>
      </c>
      <c r="V3" s="96" t="s">
        <v>130</v>
      </c>
      <c r="W3" s="95" t="s">
        <v>131</v>
      </c>
      <c r="Y3" s="96" t="s">
        <v>130</v>
      </c>
      <c r="Z3" s="95" t="s">
        <v>131</v>
      </c>
      <c r="AB3" s="96" t="s">
        <v>130</v>
      </c>
      <c r="AC3" s="95" t="s">
        <v>131</v>
      </c>
      <c r="AE3" s="96" t="s">
        <v>130</v>
      </c>
      <c r="AF3" s="95" t="s">
        <v>131</v>
      </c>
      <c r="AG3" s="34"/>
      <c r="AH3" s="96" t="s">
        <v>130</v>
      </c>
      <c r="AI3" s="95" t="s">
        <v>131</v>
      </c>
      <c r="AK3" s="128" t="s">
        <v>130</v>
      </c>
      <c r="AL3" s="129" t="s">
        <v>131</v>
      </c>
      <c r="AN3" s="96" t="s">
        <v>130</v>
      </c>
      <c r="AO3" s="95" t="s">
        <v>131</v>
      </c>
      <c r="AQ3" s="196" t="s">
        <v>130</v>
      </c>
      <c r="AR3" s="142" t="s">
        <v>131</v>
      </c>
      <c r="AT3" s="197" t="s">
        <v>130</v>
      </c>
      <c r="AU3" s="129" t="s">
        <v>131</v>
      </c>
      <c r="AW3" s="96" t="s">
        <v>130</v>
      </c>
      <c r="AX3" s="95" t="s">
        <v>131</v>
      </c>
      <c r="AZ3" s="96" t="s">
        <v>130</v>
      </c>
      <c r="BA3" s="95" t="s">
        <v>131</v>
      </c>
      <c r="BC3" s="139" t="s">
        <v>130</v>
      </c>
      <c r="BD3" s="95" t="s">
        <v>131</v>
      </c>
    </row>
    <row r="4" spans="1:57" x14ac:dyDescent="0.25">
      <c r="A4" s="167" t="s">
        <v>132</v>
      </c>
      <c r="B4" s="52"/>
      <c r="D4" s="137"/>
      <c r="E4" s="148"/>
      <c r="F4" s="39"/>
      <c r="G4" s="138"/>
      <c r="H4" s="138"/>
      <c r="J4" s="154"/>
      <c r="K4" s="154"/>
      <c r="M4" s="123"/>
      <c r="N4" s="123"/>
      <c r="P4" s="123"/>
      <c r="Q4" s="123"/>
      <c r="S4" s="140"/>
      <c r="T4" s="140"/>
      <c r="V4" s="75"/>
      <c r="AK4" s="131"/>
      <c r="AL4" s="131"/>
      <c r="AQ4" s="143"/>
      <c r="AR4" s="143"/>
      <c r="AT4" s="131"/>
      <c r="AU4" s="131"/>
    </row>
    <row r="5" spans="1:57" x14ac:dyDescent="0.25">
      <c r="A5" t="s">
        <v>133</v>
      </c>
      <c r="B5" s="52"/>
      <c r="D5" s="162">
        <f>ROUND('AMT Standard from 1 Apr25'!D5*SUM(1+'AMT Gold Standard from 24 Feb26'!$D$1),2)</f>
        <v>48.87</v>
      </c>
      <c r="E5" s="162">
        <f>ROUND('AMT Standard from 1 Apr25'!E5*SUM(1+'AMT Gold Standard from 24 Feb26'!$D$1),2)</f>
        <v>66.13</v>
      </c>
      <c r="F5" s="81"/>
      <c r="G5" s="153">
        <f t="shared" ref="G5:H8" si="0">D5*SUM(1+$G$1/$Y$1)</f>
        <v>58.643999999999991</v>
      </c>
      <c r="H5" s="153">
        <f t="shared" si="0"/>
        <v>79.355999999999995</v>
      </c>
      <c r="I5" s="83"/>
      <c r="J5" s="155">
        <f>G5-D5</f>
        <v>9.7739999999999938</v>
      </c>
      <c r="K5" s="155">
        <f>H5-E5</f>
        <v>13.225999999999999</v>
      </c>
      <c r="L5" s="83"/>
      <c r="M5" s="134">
        <f>ROUND(D5*(1+$G$1*2),2)*SUM(1+$M$1)</f>
        <v>64.504000000000005</v>
      </c>
      <c r="N5" s="134">
        <f>ROUND(E5*(1+$G$1*2),2)*SUM(1+$M$1)</f>
        <v>87.296000000000006</v>
      </c>
      <c r="P5" s="134">
        <f>M5-D5</f>
        <v>15.634000000000007</v>
      </c>
      <c r="Q5" s="134">
        <f>N5-E5</f>
        <v>21.166000000000011</v>
      </c>
      <c r="S5" s="141">
        <f t="shared" ref="S5:T8" si="1">AK5/G5</f>
        <v>9.9924971011527197E-2</v>
      </c>
      <c r="T5" s="141">
        <f t="shared" si="1"/>
        <v>0.10005544634306165</v>
      </c>
      <c r="V5" s="41">
        <f t="shared" ref="V5:W8" si="2">SUM(D5/(1-$Y$1))</f>
        <v>97.74</v>
      </c>
      <c r="W5" s="41">
        <f t="shared" si="2"/>
        <v>132.26</v>
      </c>
      <c r="X5" s="82"/>
      <c r="Y5" s="41">
        <f>ROUND(D5/(1-$Y$1)*1.2,2)</f>
        <v>117.29</v>
      </c>
      <c r="Z5" s="41">
        <f>ROUND(E5/(1-$Y$1)*1.2,2)</f>
        <v>158.71</v>
      </c>
      <c r="AB5" s="182">
        <f>ROUNDDOWN(D5/(1-$Y$1)*1.2,1)</f>
        <v>117.2</v>
      </c>
      <c r="AC5" s="182">
        <f>ROUNDDOWN(E5/(1-$Y$1)*1.2,1)</f>
        <v>158.69999999999999</v>
      </c>
      <c r="AE5" s="40">
        <f>AB5/1.2</f>
        <v>97.666666666666671</v>
      </c>
      <c r="AF5" s="40">
        <f>AC5/1.2</f>
        <v>132.25</v>
      </c>
      <c r="AH5" s="40">
        <f>Y5-AB5</f>
        <v>9.0000000000003411E-2</v>
      </c>
      <c r="AI5" s="40">
        <f>Z5-AC5</f>
        <v>1.0000000000019327E-2</v>
      </c>
      <c r="AK5" s="130">
        <f t="shared" ref="AK5:AL8" si="3">ROUND(M5*(1-(1/(1+$AL$1))),2)</f>
        <v>5.86</v>
      </c>
      <c r="AL5" s="130">
        <f t="shared" si="3"/>
        <v>7.94</v>
      </c>
      <c r="AM5" s="40"/>
      <c r="AN5" s="40">
        <f>SUM(V5-G5)-AH5</f>
        <v>39.006</v>
      </c>
      <c r="AO5" s="40">
        <f>SUM(W5-H5)-AI5</f>
        <v>52.893999999999977</v>
      </c>
      <c r="AP5" s="40"/>
      <c r="AQ5" s="144">
        <f t="shared" ref="AQ5:AR8" si="4">(SUM(G5-D5)/D5*$Y$1)</f>
        <v>9.9999999999999936E-2</v>
      </c>
      <c r="AR5" s="144">
        <f t="shared" si="4"/>
        <v>0.1</v>
      </c>
      <c r="AS5" s="40"/>
      <c r="AT5" s="146">
        <f t="shared" ref="AT5:AU8" si="5">AN5/V5</f>
        <v>0.39907918968692452</v>
      </c>
      <c r="AU5" s="146">
        <f t="shared" si="5"/>
        <v>0.39992439135037033</v>
      </c>
      <c r="AV5" s="40"/>
      <c r="AW5" s="76">
        <f t="shared" ref="AW5:AX8" si="6">D5/V5</f>
        <v>0.5</v>
      </c>
      <c r="AX5" s="76">
        <f t="shared" si="6"/>
        <v>0.5</v>
      </c>
      <c r="AY5" s="42"/>
      <c r="AZ5" s="42">
        <f t="shared" ref="AZ5:BA8" si="7">J5+AN5</f>
        <v>48.779999999999994</v>
      </c>
      <c r="BA5" s="42">
        <f t="shared" si="7"/>
        <v>66.119999999999976</v>
      </c>
      <c r="BB5" s="42"/>
      <c r="BC5" s="76">
        <f t="shared" ref="BC5:BD8" si="8">AZ5/(D5/$Y$1)</f>
        <v>0.49907918968692444</v>
      </c>
      <c r="BD5" s="76">
        <f t="shared" si="8"/>
        <v>0.49992439135037031</v>
      </c>
      <c r="BE5" s="42"/>
    </row>
    <row r="6" spans="1:57" x14ac:dyDescent="0.25">
      <c r="A6" t="s">
        <v>134</v>
      </c>
      <c r="B6" s="52"/>
      <c r="D6" s="162">
        <f>ROUND('AMT Standard from 1 Apr25'!D6*SUM(1+'AMT Gold Standard from 24 Feb26'!$D$1),2)</f>
        <v>73.319999999999993</v>
      </c>
      <c r="E6" s="162">
        <f>ROUND('AMT Standard from 1 Apr25'!E6*SUM(1+'AMT Gold Standard from 24 Feb26'!$D$1),2)</f>
        <v>99.18</v>
      </c>
      <c r="F6" s="81"/>
      <c r="G6" s="153">
        <f t="shared" si="0"/>
        <v>87.983999999999995</v>
      </c>
      <c r="H6" s="153">
        <f t="shared" si="0"/>
        <v>119.01600000000001</v>
      </c>
      <c r="I6" s="83"/>
      <c r="J6" s="155">
        <f>G6-D6</f>
        <v>14.664000000000001</v>
      </c>
      <c r="K6" s="155">
        <f>H6-E6</f>
        <v>19.835999999999999</v>
      </c>
      <c r="L6" s="83"/>
      <c r="M6" s="134">
        <f t="shared" ref="M6:N8" si="9">ROUND(D6*(1+$G$1*2),2)*SUM(1+$M$1)</f>
        <v>96.778000000000006</v>
      </c>
      <c r="N6" s="134">
        <f t="shared" si="9"/>
        <v>130.922</v>
      </c>
      <c r="P6" s="134">
        <f>M6-D6</f>
        <v>23.458000000000013</v>
      </c>
      <c r="Q6" s="134">
        <f>N6-E6</f>
        <v>31.74199999999999</v>
      </c>
      <c r="S6" s="141">
        <f t="shared" si="1"/>
        <v>0.10001818512456812</v>
      </c>
      <c r="T6" s="141">
        <f t="shared" si="1"/>
        <v>9.9986556429387641E-2</v>
      </c>
      <c r="V6" s="41">
        <f t="shared" si="2"/>
        <v>146.63999999999999</v>
      </c>
      <c r="W6" s="41">
        <f t="shared" si="2"/>
        <v>198.36</v>
      </c>
      <c r="X6" s="82"/>
      <c r="Y6" s="41">
        <f t="shared" ref="Y6:Z8" si="10">ROUND(D6/(1-$Y$1)*1.2,2)</f>
        <v>175.97</v>
      </c>
      <c r="Z6" s="41">
        <f t="shared" si="10"/>
        <v>238.03</v>
      </c>
      <c r="AB6" s="182">
        <f t="shared" ref="AB6:AC8" si="11">ROUNDDOWN(D6/(1-$Y$1)*1.2,1)</f>
        <v>175.9</v>
      </c>
      <c r="AC6" s="182">
        <f t="shared" si="11"/>
        <v>238</v>
      </c>
      <c r="AE6" s="40">
        <f t="shared" ref="AE6:AF8" si="12">AB6/1.2</f>
        <v>146.58333333333334</v>
      </c>
      <c r="AF6" s="40">
        <f t="shared" si="12"/>
        <v>198.33333333333334</v>
      </c>
      <c r="AH6" s="40">
        <f t="shared" ref="AH6:AI8" si="13">Y6-AB6</f>
        <v>6.9999999999993179E-2</v>
      </c>
      <c r="AI6" s="40">
        <f t="shared" si="13"/>
        <v>3.0000000000001137E-2</v>
      </c>
      <c r="AK6" s="130">
        <f t="shared" si="3"/>
        <v>8.8000000000000007</v>
      </c>
      <c r="AL6" s="130">
        <f t="shared" si="3"/>
        <v>11.9</v>
      </c>
      <c r="AM6" s="40"/>
      <c r="AN6" s="40">
        <f t="shared" ref="AN6:AN8" si="14">SUM(V6-G6)-AH6</f>
        <v>58.585999999999999</v>
      </c>
      <c r="AO6" s="40">
        <f t="shared" ref="AO6:AO8" si="15">SUM(W6-H6)-AI6</f>
        <v>79.314000000000007</v>
      </c>
      <c r="AP6" s="40"/>
      <c r="AQ6" s="144">
        <f t="shared" si="4"/>
        <v>0.10000000000000002</v>
      </c>
      <c r="AR6" s="144">
        <f t="shared" si="4"/>
        <v>9.9999999999999992E-2</v>
      </c>
      <c r="AS6" s="40"/>
      <c r="AT6" s="146">
        <f t="shared" si="5"/>
        <v>0.39952264048008734</v>
      </c>
      <c r="AU6" s="146">
        <f t="shared" si="5"/>
        <v>0.39984875983061102</v>
      </c>
      <c r="AV6" s="40"/>
      <c r="AW6" s="76">
        <f t="shared" si="6"/>
        <v>0.5</v>
      </c>
      <c r="AX6" s="76">
        <f t="shared" si="6"/>
        <v>0.5</v>
      </c>
      <c r="AY6" s="42"/>
      <c r="AZ6" s="42">
        <f t="shared" si="7"/>
        <v>73.25</v>
      </c>
      <c r="BA6" s="42">
        <f t="shared" si="7"/>
        <v>99.15</v>
      </c>
      <c r="BB6" s="42"/>
      <c r="BC6" s="76">
        <f t="shared" si="8"/>
        <v>0.49952264048008732</v>
      </c>
      <c r="BD6" s="76">
        <f t="shared" si="8"/>
        <v>0.499848759830611</v>
      </c>
      <c r="BE6" s="42"/>
    </row>
    <row r="7" spans="1:57" x14ac:dyDescent="0.25">
      <c r="A7" t="s">
        <v>135</v>
      </c>
      <c r="B7" s="52"/>
      <c r="D7" s="162">
        <f>ROUND('AMT Standard from 1 Apr25'!D7*SUM(1+'AMT Gold Standard from 24 Feb26'!$D$1),2)</f>
        <v>82</v>
      </c>
      <c r="E7" s="162">
        <f>ROUND('AMT Standard from 1 Apr25'!E7*SUM(1+'AMT Gold Standard from 24 Feb26'!$D$1),2)</f>
        <v>113.55</v>
      </c>
      <c r="F7" s="81"/>
      <c r="G7" s="153">
        <f t="shared" si="0"/>
        <v>98.399999999999991</v>
      </c>
      <c r="H7" s="153">
        <f t="shared" si="0"/>
        <v>136.26</v>
      </c>
      <c r="J7" s="155">
        <f t="shared" ref="J7:K8" si="16">G7-D7</f>
        <v>16.399999999999991</v>
      </c>
      <c r="K7" s="155">
        <f t="shared" si="16"/>
        <v>22.709999999999994</v>
      </c>
      <c r="M7" s="134">
        <f t="shared" si="9"/>
        <v>108.24000000000001</v>
      </c>
      <c r="N7" s="134">
        <f t="shared" si="9"/>
        <v>149.886</v>
      </c>
      <c r="P7" s="134">
        <f t="shared" ref="P7:Q8" si="17">M7-D7</f>
        <v>26.240000000000009</v>
      </c>
      <c r="Q7" s="134">
        <f t="shared" si="17"/>
        <v>36.335999999999999</v>
      </c>
      <c r="S7" s="141">
        <f t="shared" si="1"/>
        <v>0.1</v>
      </c>
      <c r="T7" s="141">
        <f t="shared" si="1"/>
        <v>0.1000293556436225</v>
      </c>
      <c r="V7" s="41">
        <f t="shared" si="2"/>
        <v>164</v>
      </c>
      <c r="W7" s="41">
        <f t="shared" si="2"/>
        <v>227.1</v>
      </c>
      <c r="Y7" s="41">
        <f t="shared" si="10"/>
        <v>196.8</v>
      </c>
      <c r="Z7" s="41">
        <f t="shared" si="10"/>
        <v>272.52</v>
      </c>
      <c r="AB7" s="182">
        <f t="shared" si="11"/>
        <v>196.8</v>
      </c>
      <c r="AC7" s="182">
        <f t="shared" si="11"/>
        <v>272.5</v>
      </c>
      <c r="AE7" s="40">
        <f t="shared" si="12"/>
        <v>164.00000000000003</v>
      </c>
      <c r="AF7" s="40">
        <f t="shared" si="12"/>
        <v>227.08333333333334</v>
      </c>
      <c r="AH7" s="40">
        <f t="shared" si="13"/>
        <v>0</v>
      </c>
      <c r="AI7" s="40">
        <f t="shared" si="13"/>
        <v>1.999999999998181E-2</v>
      </c>
      <c r="AK7" s="130">
        <f t="shared" si="3"/>
        <v>9.84</v>
      </c>
      <c r="AL7" s="130">
        <f t="shared" si="3"/>
        <v>13.63</v>
      </c>
      <c r="AM7" s="40"/>
      <c r="AN7" s="40">
        <f t="shared" si="14"/>
        <v>65.600000000000009</v>
      </c>
      <c r="AO7" s="40">
        <f t="shared" si="15"/>
        <v>90.820000000000022</v>
      </c>
      <c r="AP7" s="40"/>
      <c r="AQ7" s="144">
        <f t="shared" si="4"/>
        <v>9.999999999999995E-2</v>
      </c>
      <c r="AR7" s="144">
        <f t="shared" si="4"/>
        <v>9.9999999999999978E-2</v>
      </c>
      <c r="AS7" s="40"/>
      <c r="AT7" s="146">
        <f t="shared" si="5"/>
        <v>0.40000000000000008</v>
      </c>
      <c r="AU7" s="146">
        <f t="shared" si="5"/>
        <v>0.39991193306913264</v>
      </c>
      <c r="AV7" s="40"/>
      <c r="AW7" s="76">
        <f t="shared" si="6"/>
        <v>0.5</v>
      </c>
      <c r="AX7" s="76">
        <f t="shared" si="6"/>
        <v>0.5</v>
      </c>
      <c r="AY7" s="42"/>
      <c r="AZ7" s="42">
        <f t="shared" si="7"/>
        <v>82</v>
      </c>
      <c r="BA7" s="42">
        <f t="shared" si="7"/>
        <v>113.53000000000002</v>
      </c>
      <c r="BB7" s="42"/>
      <c r="BC7" s="76">
        <f t="shared" si="8"/>
        <v>0.5</v>
      </c>
      <c r="BD7" s="76">
        <f t="shared" si="8"/>
        <v>0.49991193306913262</v>
      </c>
      <c r="BE7" s="42"/>
    </row>
    <row r="8" spans="1:57" x14ac:dyDescent="0.25">
      <c r="A8" t="s">
        <v>136</v>
      </c>
      <c r="B8" s="52"/>
      <c r="D8" s="162">
        <f>ROUND('AMT Standard from 1 Apr25'!D8*SUM(1+'AMT Gold Standard from 24 Feb26'!$D$1),2)</f>
        <v>85.48</v>
      </c>
      <c r="E8" s="162">
        <f>ROUND('AMT Standard from 1 Apr25'!E8*SUM(1+'AMT Gold Standard from 24 Feb26'!$D$1),2)</f>
        <v>117.07</v>
      </c>
      <c r="F8" s="81"/>
      <c r="G8" s="153">
        <f t="shared" si="0"/>
        <v>102.57600000000001</v>
      </c>
      <c r="H8" s="153">
        <f t="shared" si="0"/>
        <v>140.48399999999998</v>
      </c>
      <c r="J8" s="155">
        <f t="shared" si="16"/>
        <v>17.096000000000004</v>
      </c>
      <c r="K8" s="155">
        <f t="shared" si="16"/>
        <v>23.413999999999987</v>
      </c>
      <c r="M8" s="134">
        <f t="shared" si="9"/>
        <v>112.83800000000001</v>
      </c>
      <c r="N8" s="134">
        <f t="shared" si="9"/>
        <v>154.52799999999999</v>
      </c>
      <c r="P8" s="134">
        <f t="shared" si="17"/>
        <v>27.358000000000004</v>
      </c>
      <c r="Q8" s="134">
        <f t="shared" si="17"/>
        <v>37.457999999999998</v>
      </c>
      <c r="S8" s="141">
        <f t="shared" si="1"/>
        <v>0.10002339728591482</v>
      </c>
      <c r="T8" s="141">
        <f t="shared" si="1"/>
        <v>0.10001138919734634</v>
      </c>
      <c r="V8" s="41">
        <f t="shared" si="2"/>
        <v>170.96</v>
      </c>
      <c r="W8" s="41">
        <f t="shared" si="2"/>
        <v>234.14</v>
      </c>
      <c r="Y8" s="41">
        <f t="shared" si="10"/>
        <v>205.15</v>
      </c>
      <c r="Z8" s="41">
        <f t="shared" si="10"/>
        <v>280.97000000000003</v>
      </c>
      <c r="AB8" s="182">
        <f t="shared" si="11"/>
        <v>205.1</v>
      </c>
      <c r="AC8" s="182">
        <f t="shared" si="11"/>
        <v>280.89999999999998</v>
      </c>
      <c r="AE8" s="40">
        <f t="shared" si="12"/>
        <v>170.91666666666666</v>
      </c>
      <c r="AF8" s="40">
        <f t="shared" si="12"/>
        <v>234.08333333333331</v>
      </c>
      <c r="AH8" s="40">
        <f t="shared" si="13"/>
        <v>5.0000000000011369E-2</v>
      </c>
      <c r="AI8" s="40">
        <f t="shared" si="13"/>
        <v>7.0000000000050022E-2</v>
      </c>
      <c r="AK8" s="130">
        <f t="shared" si="3"/>
        <v>10.26</v>
      </c>
      <c r="AL8" s="130">
        <f t="shared" si="3"/>
        <v>14.05</v>
      </c>
      <c r="AM8" s="40"/>
      <c r="AN8" s="40">
        <f t="shared" si="14"/>
        <v>68.333999999999989</v>
      </c>
      <c r="AO8" s="40">
        <f t="shared" si="15"/>
        <v>93.585999999999956</v>
      </c>
      <c r="AP8" s="40"/>
      <c r="AQ8" s="144">
        <f t="shared" si="4"/>
        <v>0.10000000000000002</v>
      </c>
      <c r="AR8" s="144">
        <f t="shared" si="4"/>
        <v>9.999999999999995E-2</v>
      </c>
      <c r="AS8" s="40"/>
      <c r="AT8" s="146">
        <f t="shared" si="5"/>
        <v>0.39970753392606451</v>
      </c>
      <c r="AU8" s="146">
        <f t="shared" si="5"/>
        <v>0.39970103356965903</v>
      </c>
      <c r="AV8" s="40"/>
      <c r="AW8" s="76">
        <f t="shared" si="6"/>
        <v>0.5</v>
      </c>
      <c r="AX8" s="76">
        <f t="shared" si="6"/>
        <v>0.5</v>
      </c>
      <c r="AY8" s="42"/>
      <c r="AZ8" s="42">
        <f t="shared" si="7"/>
        <v>85.429999999999993</v>
      </c>
      <c r="BA8" s="42">
        <f t="shared" si="7"/>
        <v>116.99999999999994</v>
      </c>
      <c r="BB8" s="42"/>
      <c r="BC8" s="76">
        <f t="shared" si="8"/>
        <v>0.49970753392606448</v>
      </c>
      <c r="BD8" s="76">
        <f t="shared" si="8"/>
        <v>0.49970103356965895</v>
      </c>
      <c r="BE8" s="42"/>
    </row>
    <row r="9" spans="1:57" x14ac:dyDescent="0.25">
      <c r="A9"/>
      <c r="B9" s="52"/>
      <c r="D9" s="162"/>
      <c r="E9" s="162"/>
      <c r="F9" s="41"/>
      <c r="G9" s="153"/>
      <c r="H9" s="153"/>
      <c r="I9" s="75"/>
      <c r="J9" s="156"/>
      <c r="K9" s="156"/>
      <c r="L9" s="75"/>
      <c r="M9" s="134"/>
      <c r="N9" s="134"/>
      <c r="P9" s="134"/>
      <c r="Q9" s="134"/>
      <c r="S9" s="140"/>
      <c r="T9" s="140"/>
      <c r="V9" s="40"/>
      <c r="W9" s="40"/>
      <c r="Y9" s="41"/>
      <c r="Z9" s="41"/>
      <c r="AK9" s="130"/>
      <c r="AL9" s="130"/>
      <c r="AM9" s="40"/>
      <c r="AN9" s="40"/>
      <c r="AO9" s="40"/>
      <c r="AP9" s="40"/>
      <c r="AQ9" s="145"/>
      <c r="AR9" s="145"/>
      <c r="AS9" s="40"/>
      <c r="AT9" s="146"/>
      <c r="AU9" s="146"/>
      <c r="AV9" s="40"/>
      <c r="AW9" s="76"/>
      <c r="AX9" s="76"/>
      <c r="AY9" s="42"/>
      <c r="AZ9" s="42"/>
      <c r="BA9" s="42"/>
      <c r="BB9" s="42"/>
      <c r="BC9" s="76"/>
      <c r="BD9" s="76"/>
      <c r="BE9" s="42"/>
    </row>
    <row r="10" spans="1:57" x14ac:dyDescent="0.25">
      <c r="A10" s="167" t="s">
        <v>137</v>
      </c>
      <c r="B10" s="52"/>
      <c r="D10" s="162"/>
      <c r="E10" s="162"/>
      <c r="F10" s="41"/>
      <c r="G10" s="153"/>
      <c r="H10" s="153"/>
      <c r="J10" s="154"/>
      <c r="K10" s="154"/>
      <c r="M10" s="134"/>
      <c r="N10" s="134"/>
      <c r="P10" s="134"/>
      <c r="Q10" s="134"/>
      <c r="S10" s="140"/>
      <c r="T10" s="140"/>
      <c r="V10" s="40"/>
      <c r="W10" s="40"/>
      <c r="Y10" s="41"/>
      <c r="Z10" s="41"/>
      <c r="AK10" s="130"/>
      <c r="AL10" s="130"/>
      <c r="AM10" s="40"/>
      <c r="AN10" s="40"/>
      <c r="AO10" s="40"/>
      <c r="AP10" s="40"/>
      <c r="AQ10" s="145"/>
      <c r="AR10" s="145"/>
      <c r="AS10" s="40"/>
      <c r="AT10" s="146"/>
      <c r="AU10" s="146"/>
      <c r="AV10" s="40"/>
      <c r="AW10" s="76"/>
      <c r="AX10" s="76"/>
      <c r="AY10" s="42"/>
      <c r="AZ10" s="42"/>
      <c r="BA10" s="42"/>
      <c r="BB10" s="42"/>
      <c r="BC10" s="76"/>
      <c r="BD10" s="76"/>
      <c r="BE10" s="42"/>
    </row>
    <row r="11" spans="1:57" x14ac:dyDescent="0.25">
      <c r="A11" t="s">
        <v>133</v>
      </c>
      <c r="B11" s="52"/>
      <c r="D11" s="162">
        <f>ROUND('AMT Standard from 1 Apr25'!D11*SUM(1+'AMT Gold Standard from 24 Feb26'!$D$1),2)</f>
        <v>48.87</v>
      </c>
      <c r="E11" s="162">
        <f>ROUND('AMT Standard from 1 Apr25'!E11*SUM(1+'AMT Gold Standard from 24 Feb26'!$D$1),2)</f>
        <v>66.13</v>
      </c>
      <c r="F11" s="81"/>
      <c r="G11" s="153">
        <f t="shared" ref="G11:H14" si="18">D11*SUM(1+$G$1/$Y$1)</f>
        <v>58.643999999999991</v>
      </c>
      <c r="H11" s="153">
        <f t="shared" si="18"/>
        <v>79.355999999999995</v>
      </c>
      <c r="J11" s="155">
        <f t="shared" ref="J11:K14" si="19">G11-D11</f>
        <v>9.7739999999999938</v>
      </c>
      <c r="K11" s="155">
        <f t="shared" si="19"/>
        <v>13.225999999999999</v>
      </c>
      <c r="M11" s="134">
        <f>ROUND(D11*(1+$G$1*2),2)*SUM(1+$M$1)</f>
        <v>64.504000000000005</v>
      </c>
      <c r="N11" s="134">
        <f>ROUND(E11*(1+$G$1*2),2)*SUM(1+$M$1)</f>
        <v>87.296000000000006</v>
      </c>
      <c r="P11" s="134">
        <f t="shared" ref="P11:Q14" si="20">M11-D11</f>
        <v>15.634000000000007</v>
      </c>
      <c r="Q11" s="134">
        <f t="shared" si="20"/>
        <v>21.166000000000011</v>
      </c>
      <c r="S11" s="141">
        <f t="shared" ref="S11:T14" si="21">AK11/G11</f>
        <v>9.9924971011527197E-2</v>
      </c>
      <c r="T11" s="141">
        <f t="shared" si="21"/>
        <v>0.10005544634306165</v>
      </c>
      <c r="V11" s="41">
        <f t="shared" ref="V11:W14" si="22">SUM(D11/(1-$Y$1))</f>
        <v>97.74</v>
      </c>
      <c r="W11" s="41">
        <f t="shared" si="22"/>
        <v>132.26</v>
      </c>
      <c r="Y11" s="41">
        <f>ROUND(D11/(1-$Y$1)*1.2,2)</f>
        <v>117.29</v>
      </c>
      <c r="Z11" s="41">
        <f>ROUND(E11/(1-$Y$1)*1.2,2)</f>
        <v>158.71</v>
      </c>
      <c r="AB11" s="182">
        <f t="shared" ref="AB11:AC14" si="23">ROUNDDOWN(D11/(1-$Y$1)*1.2,1)</f>
        <v>117.2</v>
      </c>
      <c r="AC11" s="182">
        <f t="shared" si="23"/>
        <v>158.69999999999999</v>
      </c>
      <c r="AE11" s="40">
        <f t="shared" ref="AE11:AF14" si="24">AB11/1.2</f>
        <v>97.666666666666671</v>
      </c>
      <c r="AF11" s="40">
        <f t="shared" si="24"/>
        <v>132.25</v>
      </c>
      <c r="AH11" s="40">
        <f t="shared" ref="AH11:AI14" si="25">Y11-AB11</f>
        <v>9.0000000000003411E-2</v>
      </c>
      <c r="AI11" s="40">
        <f t="shared" si="25"/>
        <v>1.0000000000019327E-2</v>
      </c>
      <c r="AK11" s="130">
        <f t="shared" ref="AK11:AL14" si="26">ROUND(M11*(1-(1/(1+$AL$1))),2)</f>
        <v>5.86</v>
      </c>
      <c r="AL11" s="130">
        <f t="shared" si="26"/>
        <v>7.94</v>
      </c>
      <c r="AM11" s="40"/>
      <c r="AN11" s="40">
        <f t="shared" ref="AN11:AN14" si="27">SUM(V11-G11)-AH11</f>
        <v>39.006</v>
      </c>
      <c r="AO11" s="40">
        <f t="shared" ref="AO11:AO14" si="28">SUM(W11-H11)-AI11</f>
        <v>52.893999999999977</v>
      </c>
      <c r="AP11" s="40"/>
      <c r="AQ11" s="144">
        <f t="shared" ref="AQ11:AR14" si="29">(SUM(G11-D11)/D11*$Y$1)</f>
        <v>9.9999999999999936E-2</v>
      </c>
      <c r="AR11" s="144">
        <f t="shared" si="29"/>
        <v>0.1</v>
      </c>
      <c r="AS11" s="40"/>
      <c r="AT11" s="146">
        <f t="shared" ref="AT11:AU14" si="30">AN11/V11</f>
        <v>0.39907918968692452</v>
      </c>
      <c r="AU11" s="146">
        <f t="shared" si="30"/>
        <v>0.39992439135037033</v>
      </c>
      <c r="AV11" s="40"/>
      <c r="AW11" s="76">
        <f t="shared" ref="AW11:AX14" si="31">D11/V11</f>
        <v>0.5</v>
      </c>
      <c r="AX11" s="76">
        <f t="shared" si="31"/>
        <v>0.5</v>
      </c>
      <c r="AY11" s="42"/>
      <c r="AZ11" s="42">
        <f t="shared" ref="AZ11:BA14" si="32">J11+AN11</f>
        <v>48.779999999999994</v>
      </c>
      <c r="BA11" s="42">
        <f t="shared" si="32"/>
        <v>66.119999999999976</v>
      </c>
      <c r="BB11" s="42"/>
      <c r="BC11" s="76">
        <f t="shared" ref="BC11:BD14" si="33">AZ11/(D11/$Y$1)</f>
        <v>0.49907918968692444</v>
      </c>
      <c r="BD11" s="76">
        <f t="shared" si="33"/>
        <v>0.49992439135037031</v>
      </c>
      <c r="BE11" s="42"/>
    </row>
    <row r="12" spans="1:57" x14ac:dyDescent="0.25">
      <c r="A12" t="s">
        <v>134</v>
      </c>
      <c r="B12" s="52"/>
      <c r="D12" s="162">
        <f>ROUND('AMT Standard from 1 Apr25'!D12*SUM(1+'AMT Gold Standard from 24 Feb26'!$D$1),2)</f>
        <v>73.319999999999993</v>
      </c>
      <c r="E12" s="162">
        <f>ROUND('AMT Standard from 1 Apr25'!E12*SUM(1+'AMT Gold Standard from 24 Feb26'!$D$1),2)</f>
        <v>99.18</v>
      </c>
      <c r="F12" s="81"/>
      <c r="G12" s="153">
        <f t="shared" si="18"/>
        <v>87.983999999999995</v>
      </c>
      <c r="H12" s="153">
        <f t="shared" si="18"/>
        <v>119.01600000000001</v>
      </c>
      <c r="J12" s="155">
        <f t="shared" si="19"/>
        <v>14.664000000000001</v>
      </c>
      <c r="K12" s="155">
        <f t="shared" si="19"/>
        <v>19.835999999999999</v>
      </c>
      <c r="M12" s="134">
        <f>ROUND(D12*(1+$G$1*2),2)*SUM(1+$M$1)</f>
        <v>96.778000000000006</v>
      </c>
      <c r="N12" s="134">
        <f t="shared" ref="M12:N14" si="34">ROUND(E12*(1+$G$1*2),2)*SUM(1+$M$1)</f>
        <v>130.922</v>
      </c>
      <c r="P12" s="134">
        <f t="shared" si="20"/>
        <v>23.458000000000013</v>
      </c>
      <c r="Q12" s="134">
        <f t="shared" si="20"/>
        <v>31.74199999999999</v>
      </c>
      <c r="S12" s="141">
        <f t="shared" si="21"/>
        <v>0.10001818512456812</v>
      </c>
      <c r="T12" s="141">
        <f t="shared" si="21"/>
        <v>9.9986556429387641E-2</v>
      </c>
      <c r="V12" s="41">
        <f t="shared" si="22"/>
        <v>146.63999999999999</v>
      </c>
      <c r="W12" s="41">
        <f t="shared" si="22"/>
        <v>198.36</v>
      </c>
      <c r="Y12" s="41">
        <f t="shared" ref="Y12:Z14" si="35">ROUND(D12/(1-$Y$1)*1.2,2)</f>
        <v>175.97</v>
      </c>
      <c r="Z12" s="41">
        <f t="shared" si="35"/>
        <v>238.03</v>
      </c>
      <c r="AB12" s="182">
        <f t="shared" si="23"/>
        <v>175.9</v>
      </c>
      <c r="AC12" s="182">
        <f t="shared" si="23"/>
        <v>238</v>
      </c>
      <c r="AE12" s="40">
        <f t="shared" si="24"/>
        <v>146.58333333333334</v>
      </c>
      <c r="AF12" s="40">
        <f t="shared" si="24"/>
        <v>198.33333333333334</v>
      </c>
      <c r="AH12" s="40">
        <f t="shared" si="25"/>
        <v>6.9999999999993179E-2</v>
      </c>
      <c r="AI12" s="40">
        <f t="shared" si="25"/>
        <v>3.0000000000001137E-2</v>
      </c>
      <c r="AK12" s="130">
        <f t="shared" si="26"/>
        <v>8.8000000000000007</v>
      </c>
      <c r="AL12" s="130">
        <f t="shared" si="26"/>
        <v>11.9</v>
      </c>
      <c r="AM12" s="40"/>
      <c r="AN12" s="40">
        <f t="shared" si="27"/>
        <v>58.585999999999999</v>
      </c>
      <c r="AO12" s="40">
        <f t="shared" si="28"/>
        <v>79.314000000000007</v>
      </c>
      <c r="AP12" s="40"/>
      <c r="AQ12" s="144">
        <f t="shared" si="29"/>
        <v>0.10000000000000002</v>
      </c>
      <c r="AR12" s="144">
        <f t="shared" si="29"/>
        <v>9.9999999999999992E-2</v>
      </c>
      <c r="AS12" s="40"/>
      <c r="AT12" s="146">
        <f t="shared" si="30"/>
        <v>0.39952264048008734</v>
      </c>
      <c r="AU12" s="146">
        <f t="shared" si="30"/>
        <v>0.39984875983061102</v>
      </c>
      <c r="AV12" s="40"/>
      <c r="AW12" s="76">
        <f t="shared" si="31"/>
        <v>0.5</v>
      </c>
      <c r="AX12" s="76">
        <f t="shared" si="31"/>
        <v>0.5</v>
      </c>
      <c r="AY12" s="42"/>
      <c r="AZ12" s="42">
        <f t="shared" si="32"/>
        <v>73.25</v>
      </c>
      <c r="BA12" s="42">
        <f t="shared" si="32"/>
        <v>99.15</v>
      </c>
      <c r="BB12" s="42"/>
      <c r="BC12" s="76">
        <f t="shared" si="33"/>
        <v>0.49952264048008732</v>
      </c>
      <c r="BD12" s="76">
        <f t="shared" si="33"/>
        <v>0.499848759830611</v>
      </c>
      <c r="BE12" s="42"/>
    </row>
    <row r="13" spans="1:57" x14ac:dyDescent="0.25">
      <c r="A13" t="s">
        <v>135</v>
      </c>
      <c r="B13" s="52"/>
      <c r="D13" s="162">
        <f>ROUND('AMT Standard from 1 Apr25'!D13*SUM(1+'AMT Gold Standard from 24 Feb26'!$D$1),2)</f>
        <v>82</v>
      </c>
      <c r="E13" s="162">
        <f>ROUND('AMT Standard from 1 Apr25'!E13*SUM(1+'AMT Gold Standard from 24 Feb26'!$D$1),2)</f>
        <v>113.55</v>
      </c>
      <c r="F13" s="81"/>
      <c r="G13" s="153">
        <f t="shared" si="18"/>
        <v>98.399999999999991</v>
      </c>
      <c r="H13" s="153">
        <f t="shared" si="18"/>
        <v>136.26</v>
      </c>
      <c r="J13" s="155">
        <f t="shared" si="19"/>
        <v>16.399999999999991</v>
      </c>
      <c r="K13" s="155">
        <f t="shared" si="19"/>
        <v>22.709999999999994</v>
      </c>
      <c r="M13" s="134">
        <f t="shared" si="34"/>
        <v>108.24000000000001</v>
      </c>
      <c r="N13" s="134">
        <f t="shared" si="34"/>
        <v>149.886</v>
      </c>
      <c r="P13" s="134">
        <f t="shared" si="20"/>
        <v>26.240000000000009</v>
      </c>
      <c r="Q13" s="134">
        <f t="shared" si="20"/>
        <v>36.335999999999999</v>
      </c>
      <c r="S13" s="141">
        <f t="shared" si="21"/>
        <v>0.1</v>
      </c>
      <c r="T13" s="141">
        <f t="shared" si="21"/>
        <v>0.1000293556436225</v>
      </c>
      <c r="V13" s="41">
        <f t="shared" si="22"/>
        <v>164</v>
      </c>
      <c r="W13" s="41">
        <f t="shared" si="22"/>
        <v>227.1</v>
      </c>
      <c r="Y13" s="41">
        <f t="shared" si="35"/>
        <v>196.8</v>
      </c>
      <c r="Z13" s="41">
        <f t="shared" si="35"/>
        <v>272.52</v>
      </c>
      <c r="AB13" s="182">
        <f t="shared" si="23"/>
        <v>196.8</v>
      </c>
      <c r="AC13" s="182">
        <f t="shared" si="23"/>
        <v>272.5</v>
      </c>
      <c r="AE13" s="40">
        <f t="shared" si="24"/>
        <v>164.00000000000003</v>
      </c>
      <c r="AF13" s="40">
        <f t="shared" si="24"/>
        <v>227.08333333333334</v>
      </c>
      <c r="AH13" s="40">
        <f t="shared" si="25"/>
        <v>0</v>
      </c>
      <c r="AI13" s="40">
        <f t="shared" si="25"/>
        <v>1.999999999998181E-2</v>
      </c>
      <c r="AK13" s="130">
        <f t="shared" si="26"/>
        <v>9.84</v>
      </c>
      <c r="AL13" s="130">
        <f t="shared" si="26"/>
        <v>13.63</v>
      </c>
      <c r="AM13" s="40"/>
      <c r="AN13" s="40">
        <f t="shared" si="27"/>
        <v>65.600000000000009</v>
      </c>
      <c r="AO13" s="40">
        <f t="shared" si="28"/>
        <v>90.820000000000022</v>
      </c>
      <c r="AP13" s="40"/>
      <c r="AQ13" s="144">
        <f t="shared" si="29"/>
        <v>9.999999999999995E-2</v>
      </c>
      <c r="AR13" s="144">
        <f t="shared" si="29"/>
        <v>9.9999999999999978E-2</v>
      </c>
      <c r="AS13" s="40"/>
      <c r="AT13" s="146">
        <f t="shared" si="30"/>
        <v>0.40000000000000008</v>
      </c>
      <c r="AU13" s="146">
        <f t="shared" si="30"/>
        <v>0.39991193306913264</v>
      </c>
      <c r="AV13" s="40"/>
      <c r="AW13" s="76">
        <f t="shared" si="31"/>
        <v>0.5</v>
      </c>
      <c r="AX13" s="76">
        <f t="shared" si="31"/>
        <v>0.5</v>
      </c>
      <c r="AY13" s="42"/>
      <c r="AZ13" s="42">
        <f t="shared" si="32"/>
        <v>82</v>
      </c>
      <c r="BA13" s="42">
        <f t="shared" si="32"/>
        <v>113.53000000000002</v>
      </c>
      <c r="BB13" s="42"/>
      <c r="BC13" s="76">
        <f t="shared" si="33"/>
        <v>0.5</v>
      </c>
      <c r="BD13" s="76">
        <f t="shared" si="33"/>
        <v>0.49991193306913262</v>
      </c>
      <c r="BE13" s="42"/>
    </row>
    <row r="14" spans="1:57" x14ac:dyDescent="0.25">
      <c r="A14" t="s">
        <v>136</v>
      </c>
      <c r="B14" s="52"/>
      <c r="D14" s="162">
        <f>ROUND('AMT Standard from 1 Apr25'!D14*SUM(1+'AMT Gold Standard from 24 Feb26'!$D$1),2)</f>
        <v>85.48</v>
      </c>
      <c r="E14" s="162">
        <f>ROUND('AMT Standard from 1 Apr25'!E14*SUM(1+'AMT Gold Standard from 24 Feb26'!$D$1),2)</f>
        <v>117.07</v>
      </c>
      <c r="F14" s="81"/>
      <c r="G14" s="153">
        <f t="shared" si="18"/>
        <v>102.57600000000001</v>
      </c>
      <c r="H14" s="153">
        <f t="shared" si="18"/>
        <v>140.48399999999998</v>
      </c>
      <c r="J14" s="155">
        <f t="shared" si="19"/>
        <v>17.096000000000004</v>
      </c>
      <c r="K14" s="155">
        <f t="shared" si="19"/>
        <v>23.413999999999987</v>
      </c>
      <c r="M14" s="134">
        <f t="shared" si="34"/>
        <v>112.83800000000001</v>
      </c>
      <c r="N14" s="134">
        <f t="shared" si="34"/>
        <v>154.52799999999999</v>
      </c>
      <c r="P14" s="134">
        <f t="shared" si="20"/>
        <v>27.358000000000004</v>
      </c>
      <c r="Q14" s="134">
        <f t="shared" si="20"/>
        <v>37.457999999999998</v>
      </c>
      <c r="S14" s="141">
        <f t="shared" si="21"/>
        <v>0.10002339728591482</v>
      </c>
      <c r="T14" s="141">
        <f t="shared" si="21"/>
        <v>0.10001138919734634</v>
      </c>
      <c r="V14" s="41">
        <f t="shared" si="22"/>
        <v>170.96</v>
      </c>
      <c r="W14" s="41">
        <f t="shared" si="22"/>
        <v>234.14</v>
      </c>
      <c r="Y14" s="41">
        <f t="shared" si="35"/>
        <v>205.15</v>
      </c>
      <c r="Z14" s="41">
        <f t="shared" si="35"/>
        <v>280.97000000000003</v>
      </c>
      <c r="AB14" s="182">
        <f t="shared" si="23"/>
        <v>205.1</v>
      </c>
      <c r="AC14" s="182">
        <f t="shared" si="23"/>
        <v>280.89999999999998</v>
      </c>
      <c r="AE14" s="40">
        <f t="shared" si="24"/>
        <v>170.91666666666666</v>
      </c>
      <c r="AF14" s="40">
        <f t="shared" si="24"/>
        <v>234.08333333333331</v>
      </c>
      <c r="AH14" s="40">
        <f t="shared" si="25"/>
        <v>5.0000000000011369E-2</v>
      </c>
      <c r="AI14" s="40">
        <f t="shared" si="25"/>
        <v>7.0000000000050022E-2</v>
      </c>
      <c r="AK14" s="130">
        <f t="shared" si="26"/>
        <v>10.26</v>
      </c>
      <c r="AL14" s="130">
        <f t="shared" si="26"/>
        <v>14.05</v>
      </c>
      <c r="AM14" s="40"/>
      <c r="AN14" s="40">
        <f t="shared" si="27"/>
        <v>68.333999999999989</v>
      </c>
      <c r="AO14" s="40">
        <f t="shared" si="28"/>
        <v>93.585999999999956</v>
      </c>
      <c r="AP14" s="40"/>
      <c r="AQ14" s="144">
        <f t="shared" si="29"/>
        <v>0.10000000000000002</v>
      </c>
      <c r="AR14" s="144">
        <f t="shared" si="29"/>
        <v>9.999999999999995E-2</v>
      </c>
      <c r="AS14" s="40"/>
      <c r="AT14" s="146">
        <f t="shared" si="30"/>
        <v>0.39970753392606451</v>
      </c>
      <c r="AU14" s="146">
        <f t="shared" si="30"/>
        <v>0.39970103356965903</v>
      </c>
      <c r="AV14" s="40"/>
      <c r="AW14" s="76">
        <f t="shared" si="31"/>
        <v>0.5</v>
      </c>
      <c r="AX14" s="76">
        <f t="shared" si="31"/>
        <v>0.5</v>
      </c>
      <c r="AY14" s="42"/>
      <c r="AZ14" s="42">
        <f t="shared" si="32"/>
        <v>85.429999999999993</v>
      </c>
      <c r="BA14" s="42">
        <f t="shared" si="32"/>
        <v>116.99999999999994</v>
      </c>
      <c r="BB14" s="42"/>
      <c r="BC14" s="76">
        <f t="shared" si="33"/>
        <v>0.49970753392606448</v>
      </c>
      <c r="BD14" s="76">
        <f t="shared" si="33"/>
        <v>0.49970103356965895</v>
      </c>
      <c r="BE14" s="42"/>
    </row>
    <row r="15" spans="1:57" x14ac:dyDescent="0.25">
      <c r="A15"/>
      <c r="B15" s="52"/>
      <c r="D15" s="150"/>
      <c r="E15" s="150"/>
      <c r="F15" s="41"/>
      <c r="G15" s="153"/>
      <c r="H15" s="153"/>
      <c r="J15" s="154"/>
      <c r="K15" s="154"/>
      <c r="M15" s="134"/>
      <c r="N15" s="134"/>
      <c r="P15" s="134"/>
      <c r="Q15" s="134"/>
      <c r="S15" s="140"/>
      <c r="T15" s="140"/>
      <c r="V15" s="40"/>
      <c r="W15" s="40"/>
      <c r="Y15" s="41"/>
      <c r="Z15" s="41"/>
      <c r="AK15" s="130"/>
      <c r="AL15" s="130"/>
      <c r="AM15" s="40"/>
      <c r="AN15" s="40"/>
      <c r="AO15" s="40"/>
      <c r="AP15" s="40"/>
      <c r="AQ15" s="145"/>
      <c r="AR15" s="145"/>
      <c r="AS15" s="40"/>
      <c r="AT15" s="146"/>
      <c r="AU15" s="146"/>
      <c r="AV15" s="40"/>
      <c r="AW15" s="76"/>
      <c r="AX15" s="76"/>
      <c r="AY15" s="42"/>
      <c r="AZ15" s="42"/>
      <c r="BA15" s="42"/>
      <c r="BB15" s="42"/>
      <c r="BC15" s="76"/>
      <c r="BD15" s="76"/>
      <c r="BE15" s="42"/>
    </row>
    <row r="16" spans="1:57" x14ac:dyDescent="0.25">
      <c r="A16" s="167" t="s">
        <v>138</v>
      </c>
      <c r="B16" s="52"/>
      <c r="D16" s="149"/>
      <c r="E16" s="149"/>
      <c r="F16" s="41"/>
      <c r="G16" s="153"/>
      <c r="H16" s="153"/>
      <c r="J16" s="154"/>
      <c r="K16" s="154"/>
      <c r="M16" s="134"/>
      <c r="N16" s="134"/>
      <c r="P16" s="134"/>
      <c r="Q16" s="134"/>
      <c r="S16" s="140"/>
      <c r="T16" s="140"/>
      <c r="V16" s="40"/>
      <c r="W16" s="40"/>
      <c r="Y16" s="41"/>
      <c r="Z16" s="41"/>
      <c r="AK16" s="130"/>
      <c r="AL16" s="130"/>
      <c r="AM16" s="40"/>
      <c r="AN16" s="40"/>
      <c r="AO16" s="40"/>
      <c r="AP16" s="40"/>
      <c r="AQ16" s="145"/>
      <c r="AR16" s="145"/>
      <c r="AS16" s="40"/>
      <c r="AT16" s="146"/>
      <c r="AU16" s="146"/>
      <c r="AV16" s="40"/>
      <c r="AW16" s="76"/>
      <c r="AX16" s="76"/>
      <c r="AY16" s="42"/>
      <c r="AZ16" s="42"/>
      <c r="BA16" s="42"/>
      <c r="BB16" s="42"/>
      <c r="BC16" s="76"/>
      <c r="BD16" s="76"/>
      <c r="BE16" s="42"/>
    </row>
    <row r="17" spans="1:57" x14ac:dyDescent="0.25">
      <c r="A17" t="s">
        <v>133</v>
      </c>
      <c r="B17" s="52"/>
      <c r="D17" s="162">
        <f>ROUND('AMT Standard from 1 Apr25'!D17*SUM(1+'AMT Gold Standard from 24 Feb26'!$D$1),2)</f>
        <v>110.16</v>
      </c>
      <c r="E17" s="162">
        <f>ROUND('AMT Standard from 1 Apr25'!E17*SUM(1+'AMT Gold Standard from 24 Feb26'!$D$1),2)</f>
        <v>157.5</v>
      </c>
      <c r="F17" s="81"/>
      <c r="G17" s="153">
        <f t="shared" ref="G17:H20" si="36">D17*SUM(1+$G$1/$Y$1)</f>
        <v>132.19199999999998</v>
      </c>
      <c r="H17" s="153">
        <f t="shared" si="36"/>
        <v>189</v>
      </c>
      <c r="I17" s="83"/>
      <c r="J17" s="155">
        <f t="shared" ref="J17:K20" si="37">G17-D17</f>
        <v>22.031999999999982</v>
      </c>
      <c r="K17" s="155">
        <f t="shared" si="37"/>
        <v>31.5</v>
      </c>
      <c r="L17" s="83"/>
      <c r="M17" s="134">
        <f>ROUND(D17*(1+$G$1*2),2)*SUM(1+$M$1)</f>
        <v>145.40900000000002</v>
      </c>
      <c r="N17" s="134">
        <f>ROUND(E17*(1+$G$1*2),2)*SUM(1+$M$1)</f>
        <v>207.9</v>
      </c>
      <c r="P17" s="134">
        <f t="shared" ref="P17:Q20" si="38">M17-D17</f>
        <v>35.249000000000024</v>
      </c>
      <c r="Q17" s="134">
        <f t="shared" si="38"/>
        <v>50.400000000000006</v>
      </c>
      <c r="S17" s="141">
        <f t="shared" ref="S17:T20" si="39">AK17/G17</f>
        <v>0.10000605180343744</v>
      </c>
      <c r="T17" s="141">
        <f t="shared" si="39"/>
        <v>9.9999999999999992E-2</v>
      </c>
      <c r="V17" s="41">
        <f t="shared" ref="V17:W20" si="40">SUM(D17/(1-$Y$1))</f>
        <v>220.32</v>
      </c>
      <c r="W17" s="41">
        <f t="shared" si="40"/>
        <v>315</v>
      </c>
      <c r="Y17" s="41">
        <f>ROUND(D17/(1-$Y$1)*1.2,2)</f>
        <v>264.38</v>
      </c>
      <c r="Z17" s="41">
        <f>ROUND(E17/(1-$Y$1)*1.2,2)</f>
        <v>378</v>
      </c>
      <c r="AB17" s="182">
        <f t="shared" ref="AB17:AC20" si="41">ROUNDDOWN(D17/(1-$Y$1)*1.2,1)</f>
        <v>264.3</v>
      </c>
      <c r="AC17" s="182">
        <f t="shared" si="41"/>
        <v>378</v>
      </c>
      <c r="AE17" s="40">
        <f t="shared" ref="AE17:AF20" si="42">AB17/1.2</f>
        <v>220.25000000000003</v>
      </c>
      <c r="AF17" s="40">
        <f t="shared" si="42"/>
        <v>315</v>
      </c>
      <c r="AH17" s="40">
        <f t="shared" ref="AH17:AI20" si="43">Y17-AB17</f>
        <v>7.9999999999984084E-2</v>
      </c>
      <c r="AI17" s="40">
        <f t="shared" si="43"/>
        <v>0</v>
      </c>
      <c r="AK17" s="130">
        <f t="shared" ref="AK17:AL20" si="44">ROUND(M17*(1-(1/(1+$AL$1))),2)</f>
        <v>13.22</v>
      </c>
      <c r="AL17" s="130">
        <f t="shared" si="44"/>
        <v>18.899999999999999</v>
      </c>
      <c r="AM17" s="40"/>
      <c r="AN17" s="40">
        <f t="shared" ref="AN17:AN20" si="45">SUM(V17-G17)-AH17</f>
        <v>88.04800000000003</v>
      </c>
      <c r="AO17" s="40">
        <f t="shared" ref="AO17:AO20" si="46">SUM(W17-H17)-AI17</f>
        <v>126</v>
      </c>
      <c r="AP17" s="40"/>
      <c r="AQ17" s="144">
        <f t="shared" ref="AQ17:AR20" si="47">(SUM(G17-D17)/D17*$Y$1)</f>
        <v>9.9999999999999922E-2</v>
      </c>
      <c r="AR17" s="144">
        <f t="shared" si="47"/>
        <v>0.1</v>
      </c>
      <c r="AS17" s="40"/>
      <c r="AT17" s="146">
        <f t="shared" ref="AT17:AU20" si="48">AN17/V17</f>
        <v>0.39963689179375467</v>
      </c>
      <c r="AU17" s="146">
        <f t="shared" si="48"/>
        <v>0.4</v>
      </c>
      <c r="AV17" s="40"/>
      <c r="AW17" s="76">
        <f t="shared" ref="AW17:AX20" si="49">D17/V17</f>
        <v>0.5</v>
      </c>
      <c r="AX17" s="76">
        <f t="shared" si="49"/>
        <v>0.5</v>
      </c>
      <c r="AY17" s="42"/>
      <c r="AZ17" s="42">
        <f t="shared" ref="AZ17:BA20" si="50">J17+AN17</f>
        <v>110.08000000000001</v>
      </c>
      <c r="BA17" s="42">
        <f t="shared" si="50"/>
        <v>157.5</v>
      </c>
      <c r="BB17" s="42"/>
      <c r="BC17" s="76">
        <f t="shared" ref="BC17:BD20" si="51">AZ17/(D17/$Y$1)</f>
        <v>0.49963689179375459</v>
      </c>
      <c r="BD17" s="76">
        <f t="shared" si="51"/>
        <v>0.5</v>
      </c>
      <c r="BE17" s="42"/>
    </row>
    <row r="18" spans="1:57" x14ac:dyDescent="0.25">
      <c r="A18" t="s">
        <v>134</v>
      </c>
      <c r="D18" s="162">
        <f>ROUND('AMT Standard from 1 Apr25'!D18*SUM(1+'AMT Gold Standard from 24 Feb26'!$D$1),2)</f>
        <v>165.24</v>
      </c>
      <c r="E18" s="162">
        <f>ROUND('AMT Standard from 1 Apr25'!E18*SUM(1+'AMT Gold Standard from 24 Feb26'!$D$1),2)</f>
        <v>236.24</v>
      </c>
      <c r="F18" s="81"/>
      <c r="G18" s="153">
        <f t="shared" si="36"/>
        <v>198.28800000000001</v>
      </c>
      <c r="H18" s="153">
        <f t="shared" si="36"/>
        <v>283.488</v>
      </c>
      <c r="I18" s="83"/>
      <c r="J18" s="155">
        <f t="shared" si="37"/>
        <v>33.048000000000002</v>
      </c>
      <c r="K18" s="155">
        <f t="shared" si="37"/>
        <v>47.24799999999999</v>
      </c>
      <c r="L18" s="83"/>
      <c r="M18" s="134">
        <f t="shared" ref="M18:N20" si="52">ROUND(D18*(1+$G$1*2),2)*SUM(1+$M$1)</f>
        <v>218.119</v>
      </c>
      <c r="N18" s="134">
        <f t="shared" si="52"/>
        <v>311.83900000000006</v>
      </c>
      <c r="P18" s="134">
        <f t="shared" si="38"/>
        <v>52.878999999999991</v>
      </c>
      <c r="Q18" s="134">
        <f t="shared" si="38"/>
        <v>75.599000000000046</v>
      </c>
      <c r="S18" s="141">
        <f t="shared" si="39"/>
        <v>0.10000605180343741</v>
      </c>
      <c r="T18" s="141">
        <f t="shared" si="39"/>
        <v>0.10000423298340672</v>
      </c>
      <c r="V18" s="41">
        <f t="shared" si="40"/>
        <v>330.48</v>
      </c>
      <c r="W18" s="41">
        <f t="shared" si="40"/>
        <v>472.48</v>
      </c>
      <c r="Y18" s="41">
        <f t="shared" ref="Y18:Z20" si="53">ROUND(D18/(1-$Y$1)*1.2,2)</f>
        <v>396.58</v>
      </c>
      <c r="Z18" s="41">
        <f t="shared" si="53"/>
        <v>566.98</v>
      </c>
      <c r="AB18" s="182">
        <f t="shared" si="41"/>
        <v>396.5</v>
      </c>
      <c r="AC18" s="182">
        <f t="shared" si="41"/>
        <v>566.9</v>
      </c>
      <c r="AE18" s="40">
        <f t="shared" si="42"/>
        <v>330.41666666666669</v>
      </c>
      <c r="AF18" s="40">
        <f t="shared" si="42"/>
        <v>472.41666666666669</v>
      </c>
      <c r="AH18" s="40">
        <f t="shared" si="43"/>
        <v>7.9999999999984084E-2</v>
      </c>
      <c r="AI18" s="40">
        <f t="shared" si="43"/>
        <v>8.0000000000040927E-2</v>
      </c>
      <c r="AK18" s="130">
        <f t="shared" si="44"/>
        <v>19.829999999999998</v>
      </c>
      <c r="AL18" s="130">
        <f t="shared" si="44"/>
        <v>28.35</v>
      </c>
      <c r="AM18" s="40"/>
      <c r="AN18" s="40">
        <f t="shared" si="45"/>
        <v>132.11200000000002</v>
      </c>
      <c r="AO18" s="40">
        <f t="shared" si="46"/>
        <v>188.91199999999998</v>
      </c>
      <c r="AP18" s="40"/>
      <c r="AQ18" s="144">
        <f t="shared" si="47"/>
        <v>0.1</v>
      </c>
      <c r="AR18" s="144">
        <f t="shared" si="47"/>
        <v>9.9999999999999978E-2</v>
      </c>
      <c r="AS18" s="40"/>
      <c r="AT18" s="146">
        <f t="shared" si="48"/>
        <v>0.39975792786250308</v>
      </c>
      <c r="AU18" s="146">
        <f t="shared" si="48"/>
        <v>0.39983068066373173</v>
      </c>
      <c r="AV18" s="40"/>
      <c r="AW18" s="76">
        <f t="shared" si="49"/>
        <v>0.5</v>
      </c>
      <c r="AX18" s="76">
        <f t="shared" si="49"/>
        <v>0.5</v>
      </c>
      <c r="AY18" s="42"/>
      <c r="AZ18" s="42">
        <f t="shared" si="50"/>
        <v>165.16000000000003</v>
      </c>
      <c r="BA18" s="42">
        <f t="shared" si="50"/>
        <v>236.15999999999997</v>
      </c>
      <c r="BB18" s="42"/>
      <c r="BC18" s="76">
        <f t="shared" si="51"/>
        <v>0.49975792786250306</v>
      </c>
      <c r="BD18" s="76">
        <f t="shared" si="51"/>
        <v>0.49983068066373171</v>
      </c>
      <c r="BE18" s="42"/>
    </row>
    <row r="19" spans="1:57" x14ac:dyDescent="0.25">
      <c r="A19" t="s">
        <v>135</v>
      </c>
      <c r="D19" s="162">
        <f>ROUND('AMT Standard from 1 Apr25'!D19*SUM(1+'AMT Gold Standard from 24 Feb26'!$D$1),2)</f>
        <v>176.56</v>
      </c>
      <c r="E19" s="162">
        <f>ROUND('AMT Standard from 1 Apr25'!E19*SUM(1+'AMT Gold Standard from 24 Feb26'!$D$1),2)</f>
        <v>257.14</v>
      </c>
      <c r="F19" s="81"/>
      <c r="G19" s="153">
        <f t="shared" si="36"/>
        <v>211.87199999999999</v>
      </c>
      <c r="H19" s="153">
        <f t="shared" si="36"/>
        <v>308.56799999999998</v>
      </c>
      <c r="J19" s="155">
        <f t="shared" si="37"/>
        <v>35.311999999999983</v>
      </c>
      <c r="K19" s="155">
        <f t="shared" si="37"/>
        <v>51.427999999999997</v>
      </c>
      <c r="M19" s="134">
        <f t="shared" si="52"/>
        <v>233.05700000000002</v>
      </c>
      <c r="N19" s="134">
        <f t="shared" si="52"/>
        <v>339.42700000000002</v>
      </c>
      <c r="P19" s="134">
        <f t="shared" si="38"/>
        <v>56.497000000000014</v>
      </c>
      <c r="Q19" s="134">
        <f t="shared" si="38"/>
        <v>82.287000000000035</v>
      </c>
      <c r="S19" s="141">
        <f t="shared" si="39"/>
        <v>0.10001321552635555</v>
      </c>
      <c r="T19" s="141">
        <f t="shared" si="39"/>
        <v>0.10001037048559799</v>
      </c>
      <c r="V19" s="41">
        <f t="shared" si="40"/>
        <v>353.12</v>
      </c>
      <c r="W19" s="41">
        <f t="shared" si="40"/>
        <v>514.28</v>
      </c>
      <c r="Y19" s="41">
        <f t="shared" si="53"/>
        <v>423.74</v>
      </c>
      <c r="Z19" s="41">
        <f t="shared" si="53"/>
        <v>617.14</v>
      </c>
      <c r="AB19" s="182">
        <f t="shared" si="41"/>
        <v>423.7</v>
      </c>
      <c r="AC19" s="182">
        <f t="shared" si="41"/>
        <v>617.1</v>
      </c>
      <c r="AE19" s="40">
        <f t="shared" si="42"/>
        <v>353.08333333333331</v>
      </c>
      <c r="AF19" s="40">
        <f t="shared" si="42"/>
        <v>514.25</v>
      </c>
      <c r="AH19" s="40">
        <f t="shared" si="43"/>
        <v>4.0000000000020464E-2</v>
      </c>
      <c r="AI19" s="40">
        <f t="shared" si="43"/>
        <v>3.999999999996362E-2</v>
      </c>
      <c r="AK19" s="130">
        <f t="shared" si="44"/>
        <v>21.19</v>
      </c>
      <c r="AL19" s="130">
        <f t="shared" si="44"/>
        <v>30.86</v>
      </c>
      <c r="AM19" s="40"/>
      <c r="AN19" s="40">
        <f t="shared" si="45"/>
        <v>141.208</v>
      </c>
      <c r="AO19" s="40">
        <f t="shared" si="46"/>
        <v>205.67200000000003</v>
      </c>
      <c r="AP19" s="40"/>
      <c r="AQ19" s="144">
        <f t="shared" si="47"/>
        <v>9.999999999999995E-2</v>
      </c>
      <c r="AR19" s="144">
        <f t="shared" si="47"/>
        <v>0.1</v>
      </c>
      <c r="AS19" s="40"/>
      <c r="AT19" s="146">
        <f t="shared" si="48"/>
        <v>0.39988672405980968</v>
      </c>
      <c r="AU19" s="146">
        <f t="shared" si="48"/>
        <v>0.39992222135801514</v>
      </c>
      <c r="AV19" s="40"/>
      <c r="AW19" s="76">
        <f t="shared" si="49"/>
        <v>0.5</v>
      </c>
      <c r="AX19" s="76">
        <f t="shared" si="49"/>
        <v>0.5</v>
      </c>
      <c r="AY19" s="42"/>
      <c r="AZ19" s="42">
        <f t="shared" si="50"/>
        <v>176.51999999999998</v>
      </c>
      <c r="BA19" s="42">
        <f t="shared" si="50"/>
        <v>257.10000000000002</v>
      </c>
      <c r="BB19" s="42"/>
      <c r="BC19" s="76">
        <f t="shared" si="51"/>
        <v>0.49988672405980966</v>
      </c>
      <c r="BD19" s="76">
        <f t="shared" si="51"/>
        <v>0.49992222135801517</v>
      </c>
      <c r="BE19" s="42"/>
    </row>
    <row r="20" spans="1:57" x14ac:dyDescent="0.25">
      <c r="A20" t="s">
        <v>136</v>
      </c>
      <c r="D20" s="162">
        <f>ROUND('AMT Standard from 1 Apr25'!D20*SUM(1+'AMT Gold Standard from 24 Feb26'!$D$1),2)</f>
        <v>191.66</v>
      </c>
      <c r="E20" s="162">
        <f>ROUND('AMT Standard from 1 Apr25'!E20*SUM(1+'AMT Gold Standard from 24 Feb26'!$D$1),2)</f>
        <v>275.72000000000003</v>
      </c>
      <c r="F20" s="81"/>
      <c r="G20" s="153">
        <f t="shared" si="36"/>
        <v>229.99199999999999</v>
      </c>
      <c r="H20" s="153">
        <f t="shared" si="36"/>
        <v>330.86400000000003</v>
      </c>
      <c r="J20" s="155">
        <f t="shared" si="37"/>
        <v>38.331999999999994</v>
      </c>
      <c r="K20" s="155">
        <f t="shared" si="37"/>
        <v>55.144000000000005</v>
      </c>
      <c r="M20" s="134">
        <f t="shared" si="52"/>
        <v>252.98900000000003</v>
      </c>
      <c r="N20" s="134">
        <f t="shared" si="52"/>
        <v>363.94600000000003</v>
      </c>
      <c r="P20" s="134">
        <f t="shared" si="38"/>
        <v>61.329000000000036</v>
      </c>
      <c r="Q20" s="134">
        <f t="shared" si="38"/>
        <v>88.225999999999999</v>
      </c>
      <c r="S20" s="141">
        <f t="shared" si="39"/>
        <v>0.10000347838185676</v>
      </c>
      <c r="T20" s="141">
        <f t="shared" si="39"/>
        <v>0.10001088060351081</v>
      </c>
      <c r="V20" s="41">
        <f t="shared" si="40"/>
        <v>383.32</v>
      </c>
      <c r="W20" s="41">
        <f t="shared" si="40"/>
        <v>551.44000000000005</v>
      </c>
      <c r="Y20" s="41">
        <f t="shared" si="53"/>
        <v>459.98</v>
      </c>
      <c r="Z20" s="41">
        <f t="shared" si="53"/>
        <v>661.73</v>
      </c>
      <c r="AB20" s="182">
        <f t="shared" si="41"/>
        <v>459.9</v>
      </c>
      <c r="AC20" s="182">
        <f t="shared" si="41"/>
        <v>661.7</v>
      </c>
      <c r="AE20" s="40">
        <f t="shared" si="42"/>
        <v>383.25</v>
      </c>
      <c r="AF20" s="40">
        <f t="shared" si="42"/>
        <v>551.41666666666674</v>
      </c>
      <c r="AH20" s="40">
        <f t="shared" si="43"/>
        <v>8.0000000000040927E-2</v>
      </c>
      <c r="AI20" s="40">
        <f t="shared" si="43"/>
        <v>2.9999999999972715E-2</v>
      </c>
      <c r="AK20" s="130">
        <f t="shared" si="44"/>
        <v>23</v>
      </c>
      <c r="AL20" s="130">
        <f t="shared" si="44"/>
        <v>33.090000000000003</v>
      </c>
      <c r="AM20" s="40"/>
      <c r="AN20" s="40">
        <f t="shared" si="45"/>
        <v>153.24799999999996</v>
      </c>
      <c r="AO20" s="40">
        <f t="shared" si="46"/>
        <v>220.54600000000005</v>
      </c>
      <c r="AP20" s="40"/>
      <c r="AQ20" s="144">
        <f t="shared" si="47"/>
        <v>9.9999999999999992E-2</v>
      </c>
      <c r="AR20" s="144">
        <f t="shared" si="47"/>
        <v>0.1</v>
      </c>
      <c r="AS20" s="40"/>
      <c r="AT20" s="146">
        <f t="shared" si="48"/>
        <v>0.39979129708859429</v>
      </c>
      <c r="AU20" s="146">
        <f t="shared" si="48"/>
        <v>0.39994559698244603</v>
      </c>
      <c r="AV20" s="40"/>
      <c r="AW20" s="76">
        <f t="shared" si="49"/>
        <v>0.5</v>
      </c>
      <c r="AX20" s="76">
        <f t="shared" si="49"/>
        <v>0.5</v>
      </c>
      <c r="AY20" s="42"/>
      <c r="AZ20" s="42">
        <f t="shared" si="50"/>
        <v>191.57999999999996</v>
      </c>
      <c r="BA20" s="42">
        <f t="shared" si="50"/>
        <v>275.69000000000005</v>
      </c>
      <c r="BB20" s="42"/>
      <c r="BC20" s="76">
        <f t="shared" si="51"/>
        <v>0.49979129708859427</v>
      </c>
      <c r="BD20" s="76">
        <f t="shared" si="51"/>
        <v>0.49994559698244601</v>
      </c>
      <c r="BE20" s="42"/>
    </row>
    <row r="21" spans="1:57" x14ac:dyDescent="0.25">
      <c r="C21" s="104"/>
      <c r="D21" s="104"/>
      <c r="H21" s="40"/>
      <c r="I21" s="75"/>
      <c r="J21" s="75"/>
      <c r="K21" s="75"/>
      <c r="L21" s="75"/>
      <c r="V21" s="40"/>
      <c r="X21" s="41"/>
      <c r="Y21" s="40"/>
      <c r="Z21" s="40"/>
      <c r="AK21" s="76"/>
      <c r="AL21" s="76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76"/>
      <c r="AX21" s="76"/>
      <c r="AY21" s="42"/>
      <c r="AZ21" s="42"/>
      <c r="BA21" s="42"/>
      <c r="BB21" s="42"/>
      <c r="BC21" s="76"/>
      <c r="BD21" s="76"/>
      <c r="BE21" s="40"/>
    </row>
    <row r="22" spans="1:57" x14ac:dyDescent="0.25">
      <c r="A22" s="4" t="s">
        <v>139</v>
      </c>
      <c r="X22" s="41"/>
      <c r="Y22" s="40"/>
      <c r="Z22" s="40"/>
      <c r="AK22" s="76"/>
      <c r="AL22" s="76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76"/>
      <c r="AX22" s="76"/>
      <c r="AY22" s="42"/>
      <c r="AZ22" s="42"/>
      <c r="BA22" s="42"/>
      <c r="BB22" s="42"/>
      <c r="BC22" s="76"/>
      <c r="BD22" s="76"/>
      <c r="BE22" s="40"/>
    </row>
    <row r="23" spans="1:57" x14ac:dyDescent="0.25">
      <c r="A23" s="53"/>
      <c r="X23" s="41"/>
      <c r="Y23" s="40"/>
      <c r="Z23" s="40"/>
      <c r="AK23" s="76"/>
      <c r="AL23" s="76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76"/>
      <c r="AX23" s="76"/>
      <c r="AY23" s="42"/>
      <c r="AZ23" s="42"/>
      <c r="BA23" s="42"/>
      <c r="BB23" s="42"/>
      <c r="BC23" s="76"/>
      <c r="BD23" s="76"/>
      <c r="BE23" s="40"/>
    </row>
    <row r="24" spans="1:57" x14ac:dyDescent="0.25">
      <c r="A24" s="100" t="s">
        <v>132</v>
      </c>
      <c r="B24" s="52" t="s">
        <v>140</v>
      </c>
      <c r="D24" s="55" t="s">
        <v>141</v>
      </c>
      <c r="E24" s="55"/>
      <c r="F24" s="55"/>
    </row>
    <row r="25" spans="1:57" x14ac:dyDescent="0.25">
      <c r="A25" s="100" t="s">
        <v>137</v>
      </c>
      <c r="B25" s="52" t="s">
        <v>140</v>
      </c>
      <c r="F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</row>
    <row r="26" spans="1:57" x14ac:dyDescent="0.25">
      <c r="A26" s="100" t="s">
        <v>142</v>
      </c>
      <c r="B26" s="52" t="s">
        <v>140</v>
      </c>
      <c r="F26" s="40"/>
      <c r="G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</row>
    <row r="27" spans="1:57" x14ac:dyDescent="0.25">
      <c r="F27" s="40"/>
      <c r="G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</row>
    <row r="28" spans="1:57" ht="30" x14ac:dyDescent="0.25">
      <c r="A28" s="99" t="s">
        <v>143</v>
      </c>
      <c r="B28" s="52" t="s">
        <v>144</v>
      </c>
      <c r="F28" s="40"/>
      <c r="G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</row>
    <row r="29" spans="1:57" x14ac:dyDescent="0.25">
      <c r="G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</row>
    <row r="30" spans="1:57" ht="45" customHeight="1" x14ac:dyDescent="0.25">
      <c r="A30" s="159" t="s">
        <v>145</v>
      </c>
      <c r="B30" s="246" t="s">
        <v>146</v>
      </c>
      <c r="C30" s="246"/>
      <c r="D30" s="246"/>
      <c r="E30" s="246"/>
      <c r="F30" s="99"/>
      <c r="AA30" s="40"/>
      <c r="AB30" s="40"/>
      <c r="AC30" s="40"/>
      <c r="AD30" s="40"/>
      <c r="AE30" s="40"/>
      <c r="AF30" s="40"/>
      <c r="AG30" s="40"/>
      <c r="AH30" s="40"/>
      <c r="AI30" s="40"/>
      <c r="AJ30" s="40"/>
    </row>
    <row r="31" spans="1:57" ht="45" customHeight="1" x14ac:dyDescent="0.25">
      <c r="A31" s="159" t="s">
        <v>147</v>
      </c>
      <c r="B31" s="246" t="s">
        <v>148</v>
      </c>
      <c r="C31" s="246"/>
      <c r="D31" s="246"/>
      <c r="E31" s="246"/>
      <c r="F31" s="246"/>
      <c r="AA31" s="40"/>
      <c r="AB31" s="40"/>
      <c r="AC31" s="40"/>
      <c r="AD31" s="40"/>
      <c r="AE31" s="40"/>
      <c r="AF31" s="40"/>
      <c r="AG31" s="40"/>
      <c r="AH31" s="40"/>
      <c r="AI31" s="40"/>
      <c r="AJ31" s="40"/>
    </row>
    <row r="32" spans="1:57" x14ac:dyDescent="0.25"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</row>
    <row r="33" spans="1:57" x14ac:dyDescent="0.25">
      <c r="A33" s="100" t="s">
        <v>149</v>
      </c>
      <c r="B33" s="101" t="s">
        <v>150</v>
      </c>
      <c r="C33" s="52"/>
      <c r="AA33" s="40"/>
      <c r="AB33" s="40"/>
      <c r="AC33" s="40"/>
      <c r="AD33" s="40"/>
      <c r="AE33" s="40"/>
      <c r="AF33" s="40"/>
      <c r="AG33" s="40"/>
      <c r="AH33" s="40"/>
      <c r="AI33" s="40"/>
      <c r="AJ33" s="40"/>
    </row>
    <row r="34" spans="1:57" x14ac:dyDescent="0.25">
      <c r="A34" s="100" t="s">
        <v>151</v>
      </c>
      <c r="B34" s="101" t="s">
        <v>152</v>
      </c>
      <c r="C34" s="52"/>
    </row>
    <row r="35" spans="1:57" x14ac:dyDescent="0.25">
      <c r="A35" s="100" t="s">
        <v>153</v>
      </c>
      <c r="B35" s="101" t="s">
        <v>154</v>
      </c>
      <c r="C35" s="52"/>
    </row>
    <row r="36" spans="1:57" s="96" customFormat="1" ht="45" customHeight="1" x14ac:dyDescent="0.25">
      <c r="D36" s="244" t="s">
        <v>128</v>
      </c>
      <c r="E36" s="244"/>
      <c r="F36" s="95"/>
      <c r="G36" s="245" t="s">
        <v>3</v>
      </c>
      <c r="H36" s="245"/>
      <c r="I36" s="18"/>
      <c r="J36" s="245" t="s">
        <v>4</v>
      </c>
      <c r="K36" s="245"/>
      <c r="L36" s="18"/>
      <c r="M36" s="219" t="s">
        <v>5</v>
      </c>
      <c r="N36" s="219"/>
      <c r="O36" s="18"/>
      <c r="P36" s="219" t="s">
        <v>6</v>
      </c>
      <c r="Q36" s="219"/>
      <c r="R36" s="18"/>
      <c r="S36" s="219" t="s">
        <v>7</v>
      </c>
      <c r="T36" s="219"/>
      <c r="U36" s="18"/>
      <c r="V36" s="214" t="s">
        <v>8</v>
      </c>
      <c r="W36" s="214"/>
      <c r="X36" s="52"/>
      <c r="Y36" s="211" t="s">
        <v>9</v>
      </c>
      <c r="Z36" s="211"/>
      <c r="AA36" s="1"/>
      <c r="AB36" s="215" t="s">
        <v>10</v>
      </c>
      <c r="AC36" s="215"/>
      <c r="AD36" s="1"/>
      <c r="AE36" s="211" t="s">
        <v>11</v>
      </c>
      <c r="AF36" s="211"/>
      <c r="AG36" s="1"/>
      <c r="AH36" s="211" t="s">
        <v>12</v>
      </c>
      <c r="AI36" s="211"/>
      <c r="AJ36" s="1"/>
      <c r="AK36" s="211" t="s">
        <v>13</v>
      </c>
      <c r="AL36" s="211"/>
      <c r="AM36" s="1"/>
      <c r="AN36" s="211" t="s">
        <v>14</v>
      </c>
      <c r="AO36" s="211"/>
      <c r="AP36" s="1"/>
      <c r="AQ36" s="212" t="s">
        <v>15</v>
      </c>
      <c r="AR36" s="212"/>
      <c r="AS36" s="1"/>
      <c r="AT36" s="211" t="s">
        <v>16</v>
      </c>
      <c r="AU36" s="211"/>
      <c r="AV36" s="1"/>
      <c r="AW36" s="213" t="s">
        <v>17</v>
      </c>
      <c r="AX36" s="213"/>
      <c r="AY36" s="1"/>
      <c r="AZ36" s="213" t="s">
        <v>18</v>
      </c>
      <c r="BA36" s="213"/>
      <c r="BB36" s="1"/>
      <c r="BC36" s="213" t="s">
        <v>129</v>
      </c>
      <c r="BD36" s="213"/>
      <c r="BE36" s="1"/>
    </row>
    <row r="37" spans="1:57" s="96" customFormat="1" ht="45" customHeight="1" x14ac:dyDescent="0.25">
      <c r="D37" s="195" t="s">
        <v>130</v>
      </c>
      <c r="E37" s="147" t="s">
        <v>131</v>
      </c>
      <c r="F37" s="35"/>
      <c r="G37" s="151" t="s">
        <v>130</v>
      </c>
      <c r="H37" s="152" t="s">
        <v>131</v>
      </c>
      <c r="I37" s="52"/>
      <c r="J37" s="151" t="s">
        <v>130</v>
      </c>
      <c r="K37" s="152" t="s">
        <v>131</v>
      </c>
      <c r="L37" s="52"/>
      <c r="M37" s="132" t="s">
        <v>130</v>
      </c>
      <c r="N37" s="133" t="s">
        <v>131</v>
      </c>
      <c r="O37" s="52"/>
      <c r="P37" s="132" t="s">
        <v>130</v>
      </c>
      <c r="Q37" s="133" t="s">
        <v>131</v>
      </c>
      <c r="R37" s="52"/>
      <c r="S37" s="132" t="s">
        <v>130</v>
      </c>
      <c r="T37" s="133" t="s">
        <v>131</v>
      </c>
      <c r="U37" s="52"/>
      <c r="V37" s="96" t="s">
        <v>130</v>
      </c>
      <c r="W37" s="95" t="s">
        <v>131</v>
      </c>
      <c r="X37" s="52"/>
      <c r="Y37" s="96" t="s">
        <v>130</v>
      </c>
      <c r="Z37" s="95" t="s">
        <v>131</v>
      </c>
      <c r="AA37" s="52"/>
      <c r="AB37" s="96" t="s">
        <v>130</v>
      </c>
      <c r="AC37" s="95" t="s">
        <v>131</v>
      </c>
      <c r="AD37" s="52"/>
      <c r="AE37" s="96" t="s">
        <v>130</v>
      </c>
      <c r="AF37" s="95" t="s">
        <v>131</v>
      </c>
      <c r="AG37" s="34"/>
      <c r="AH37" s="96" t="s">
        <v>130</v>
      </c>
      <c r="AI37" s="95" t="s">
        <v>131</v>
      </c>
      <c r="AJ37" s="52"/>
      <c r="AK37" s="128" t="s">
        <v>130</v>
      </c>
      <c r="AL37" s="129" t="s">
        <v>131</v>
      </c>
      <c r="AM37" s="52"/>
      <c r="AN37" s="96" t="s">
        <v>130</v>
      </c>
      <c r="AO37" s="95" t="s">
        <v>131</v>
      </c>
      <c r="AP37" s="52"/>
      <c r="AQ37" s="196" t="s">
        <v>130</v>
      </c>
      <c r="AR37" s="142" t="s">
        <v>131</v>
      </c>
      <c r="AS37" s="52"/>
      <c r="AT37" s="197" t="s">
        <v>130</v>
      </c>
      <c r="AU37" s="129" t="s">
        <v>131</v>
      </c>
      <c r="AV37" s="52"/>
      <c r="AW37" s="96" t="s">
        <v>130</v>
      </c>
      <c r="AX37" s="95" t="s">
        <v>131</v>
      </c>
      <c r="AY37" s="52"/>
      <c r="AZ37" s="96" t="s">
        <v>130</v>
      </c>
      <c r="BA37" s="95" t="s">
        <v>131</v>
      </c>
      <c r="BB37" s="52"/>
      <c r="BC37" s="139" t="s">
        <v>130</v>
      </c>
      <c r="BD37" s="95" t="s">
        <v>131</v>
      </c>
      <c r="BE37" s="1"/>
    </row>
    <row r="38" spans="1:57" x14ac:dyDescent="0.25">
      <c r="B38" s="45"/>
      <c r="D38" s="149"/>
      <c r="E38" s="149"/>
      <c r="F38" s="81"/>
      <c r="G38" s="153"/>
      <c r="H38" s="153"/>
      <c r="J38" s="155"/>
      <c r="K38" s="155"/>
      <c r="L38" s="41"/>
      <c r="M38" s="161"/>
      <c r="N38" s="161"/>
      <c r="P38" s="134"/>
      <c r="Q38" s="134"/>
      <c r="S38" s="141"/>
      <c r="T38" s="141"/>
      <c r="V38" s="41"/>
      <c r="W38" s="41"/>
      <c r="Y38" s="41"/>
      <c r="Z38" s="41"/>
      <c r="AB38" s="182"/>
      <c r="AC38" s="182"/>
      <c r="AE38" s="40"/>
      <c r="AF38" s="40"/>
      <c r="AH38" s="40"/>
      <c r="AI38" s="40"/>
      <c r="AK38" s="130"/>
      <c r="AL38" s="130"/>
      <c r="AM38" s="40"/>
      <c r="AN38" s="40"/>
      <c r="AO38" s="40"/>
      <c r="AP38" s="40"/>
      <c r="AQ38" s="144"/>
      <c r="AR38" s="144"/>
      <c r="AS38" s="40"/>
      <c r="AT38" s="146"/>
      <c r="AU38" s="146"/>
      <c r="AV38" s="40"/>
      <c r="AW38" s="76"/>
      <c r="AX38" s="76"/>
      <c r="AY38" s="42"/>
      <c r="AZ38" s="42"/>
      <c r="BA38" s="42"/>
      <c r="BB38" s="42"/>
      <c r="BC38" s="76"/>
      <c r="BD38" s="76"/>
      <c r="BE38" s="42"/>
    </row>
    <row r="39" spans="1:57" ht="39.950000000000003" customHeight="1" x14ac:dyDescent="0.25">
      <c r="A39" s="247" t="s">
        <v>63</v>
      </c>
      <c r="B39" s="247"/>
      <c r="C39" s="247"/>
      <c r="D39" s="162">
        <v>15</v>
      </c>
      <c r="E39" s="162">
        <v>15</v>
      </c>
      <c r="F39" s="81"/>
      <c r="G39" s="153">
        <f>D39*SUM(1+$G$1/$Y$1)</f>
        <v>18</v>
      </c>
      <c r="H39" s="153">
        <f>E39*SUM(1+$G$1/$Y$1)</f>
        <v>18</v>
      </c>
      <c r="J39" s="155">
        <f t="shared" ref="J39:K39" si="54">G39-D39</f>
        <v>3</v>
      </c>
      <c r="K39" s="155">
        <f t="shared" si="54"/>
        <v>3</v>
      </c>
      <c r="L39" s="41"/>
      <c r="M39" s="161">
        <f t="shared" ref="M39:N39" si="55">ROUND(D39*(1+$G$1*2),2)*SUM(1+$M$1)</f>
        <v>19.8</v>
      </c>
      <c r="N39" s="161">
        <f t="shared" si="55"/>
        <v>19.8</v>
      </c>
      <c r="P39" s="134">
        <f t="shared" ref="P39:Q39" si="56">M39-D39</f>
        <v>4.8000000000000007</v>
      </c>
      <c r="Q39" s="134">
        <f t="shared" si="56"/>
        <v>4.8000000000000007</v>
      </c>
      <c r="S39" s="141">
        <f>AK39/G39</f>
        <v>0.1</v>
      </c>
      <c r="T39" s="141">
        <f>AL39/H39</f>
        <v>0.1</v>
      </c>
      <c r="V39" s="41">
        <f>SUM(D39/(1-$Y$1))</f>
        <v>30</v>
      </c>
      <c r="W39" s="41">
        <f>SUM(E39/(1-$Y$1))</f>
        <v>30</v>
      </c>
      <c r="Y39" s="41">
        <f t="shared" ref="Y39:Z39" si="57">ROUND(D39/(1-$Y$1)*1.2,2)</f>
        <v>36</v>
      </c>
      <c r="Z39" s="41">
        <f t="shared" si="57"/>
        <v>36</v>
      </c>
      <c r="AB39" s="182">
        <f t="shared" ref="AB39:AC39" si="58">ROUNDDOWN(D39/(1-$Y$1)*1.2,1)</f>
        <v>36</v>
      </c>
      <c r="AC39" s="182">
        <f t="shared" si="58"/>
        <v>36</v>
      </c>
      <c r="AE39" s="40">
        <f t="shared" ref="AE39:AF39" si="59">AB39/1.2</f>
        <v>30</v>
      </c>
      <c r="AF39" s="40">
        <f t="shared" si="59"/>
        <v>30</v>
      </c>
      <c r="AH39" s="40">
        <f t="shared" ref="AH39:AI39" si="60">Y39-AB39</f>
        <v>0</v>
      </c>
      <c r="AI39" s="40">
        <f t="shared" si="60"/>
        <v>0</v>
      </c>
      <c r="AK39" s="130">
        <f t="shared" ref="AK39" si="61">ROUND(M39*(1-(1/(1+$AL$1))),2)</f>
        <v>1.8</v>
      </c>
      <c r="AL39" s="130">
        <f>ROUND(N39*(1-(1/(1+$AL$1))),2)</f>
        <v>1.8</v>
      </c>
      <c r="AM39" s="40"/>
      <c r="AN39" s="40">
        <f t="shared" ref="AN39" si="62">SUM(V39-G39)-AH39</f>
        <v>12</v>
      </c>
      <c r="AO39" s="40">
        <f t="shared" ref="AO39" si="63">SUM(W39-H39)-AI39</f>
        <v>12</v>
      </c>
      <c r="AP39" s="40"/>
      <c r="AQ39" s="144">
        <f>(SUM(G39-D39)/D39*$Y$1)</f>
        <v>0.1</v>
      </c>
      <c r="AR39" s="144">
        <f>(SUM(H39-E39)/E39*$Y$1)</f>
        <v>0.1</v>
      </c>
      <c r="AS39" s="40"/>
      <c r="AT39" s="146">
        <f>AN39/V39</f>
        <v>0.4</v>
      </c>
      <c r="AU39" s="146">
        <f>AO39/W39</f>
        <v>0.4</v>
      </c>
      <c r="AV39" s="40"/>
      <c r="AW39" s="76">
        <f>D39/V39</f>
        <v>0.5</v>
      </c>
      <c r="AX39" s="76">
        <f>E39/W39</f>
        <v>0.5</v>
      </c>
      <c r="AY39" s="42"/>
      <c r="AZ39" s="42">
        <f>J39+AN39</f>
        <v>15</v>
      </c>
      <c r="BA39" s="42">
        <f>K39+AO39</f>
        <v>15</v>
      </c>
      <c r="BB39" s="42"/>
      <c r="BC39" s="76">
        <f>AZ39/(D39/$Y$1)</f>
        <v>0.5</v>
      </c>
      <c r="BD39" s="76">
        <f>BA39/(E39/$Y$1)</f>
        <v>0.5</v>
      </c>
      <c r="BE39" s="42"/>
    </row>
    <row r="40" spans="1:57" x14ac:dyDescent="0.25">
      <c r="A40" s="52"/>
      <c r="B40" s="52"/>
      <c r="C40" s="98"/>
      <c r="D40" s="52"/>
      <c r="E40" s="52"/>
      <c r="F40" s="40"/>
    </row>
    <row r="41" spans="1:57" x14ac:dyDescent="0.25">
      <c r="A41" s="45" t="s">
        <v>64</v>
      </c>
      <c r="B41" s="45" t="s">
        <v>65</v>
      </c>
      <c r="C41" s="45" t="s">
        <v>66</v>
      </c>
    </row>
    <row r="42" spans="1:57" s="122" customFormat="1" ht="30" customHeight="1" x14ac:dyDescent="0.25">
      <c r="A42" s="120"/>
      <c r="B42" s="121" t="s">
        <v>67</v>
      </c>
      <c r="C42" s="248" t="s">
        <v>68</v>
      </c>
      <c r="D42" s="248"/>
      <c r="E42" s="248"/>
      <c r="F42" s="248"/>
      <c r="G42" s="248"/>
      <c r="H42" s="248"/>
      <c r="I42" s="248"/>
      <c r="J42" s="248"/>
      <c r="K42" s="248"/>
      <c r="L42" s="248"/>
      <c r="M42" s="248"/>
    </row>
    <row r="43" spans="1:57" s="122" customFormat="1" ht="30" customHeight="1" x14ac:dyDescent="0.25">
      <c r="A43" s="120"/>
      <c r="B43" s="121"/>
      <c r="C43" s="248"/>
      <c r="D43" s="248"/>
      <c r="E43" s="248"/>
      <c r="F43" s="248"/>
      <c r="G43" s="248"/>
      <c r="H43" s="248"/>
      <c r="I43" s="248"/>
      <c r="J43" s="248"/>
      <c r="K43" s="248"/>
      <c r="L43" s="248"/>
      <c r="M43" s="248"/>
    </row>
    <row r="44" spans="1:57" x14ac:dyDescent="0.25">
      <c r="B44" s="45" t="s">
        <v>69</v>
      </c>
      <c r="C44" s="45" t="s">
        <v>70</v>
      </c>
      <c r="G44" s="40"/>
    </row>
    <row r="45" spans="1:57" x14ac:dyDescent="0.25">
      <c r="B45" s="45" t="s">
        <v>71</v>
      </c>
      <c r="C45" s="45" t="s">
        <v>72</v>
      </c>
      <c r="G45" s="40"/>
    </row>
    <row r="46" spans="1:57" x14ac:dyDescent="0.25">
      <c r="A46" s="52"/>
      <c r="B46" s="52"/>
      <c r="C46" s="98"/>
      <c r="D46" s="52"/>
      <c r="E46" s="52"/>
      <c r="F46" s="40"/>
    </row>
    <row r="47" spans="1:57" x14ac:dyDescent="0.25">
      <c r="A47" s="46" t="s">
        <v>73</v>
      </c>
      <c r="B47" s="1" t="s">
        <v>74</v>
      </c>
      <c r="C47" s="46" t="s">
        <v>75</v>
      </c>
      <c r="D47" s="25"/>
      <c r="F47" s="47"/>
    </row>
    <row r="48" spans="1:57" x14ac:dyDescent="0.25">
      <c r="A48" s="25"/>
      <c r="B48" s="1" t="s">
        <v>76</v>
      </c>
      <c r="C48" s="47" t="s">
        <v>77</v>
      </c>
      <c r="D48" s="25"/>
      <c r="F48" s="47"/>
    </row>
    <row r="49" spans="1:12" x14ac:dyDescent="0.25">
      <c r="A49" s="25"/>
      <c r="B49" s="1" t="s">
        <v>78</v>
      </c>
      <c r="C49" s="47" t="s">
        <v>79</v>
      </c>
      <c r="D49" s="25"/>
      <c r="F49" s="47"/>
    </row>
    <row r="50" spans="1:12" x14ac:dyDescent="0.25">
      <c r="A50" s="25"/>
      <c r="B50" s="1" t="s">
        <v>80</v>
      </c>
      <c r="C50" s="47" t="s">
        <v>81</v>
      </c>
      <c r="D50" s="25"/>
      <c r="F50" s="47"/>
    </row>
    <row r="51" spans="1:12" x14ac:dyDescent="0.25">
      <c r="F51" s="52"/>
      <c r="G51" s="52"/>
      <c r="H51" s="52"/>
      <c r="I51" s="52"/>
      <c r="J51" s="52"/>
      <c r="K51" s="52"/>
      <c r="L51" s="52"/>
    </row>
    <row r="52" spans="1:12" x14ac:dyDescent="0.25">
      <c r="A52" s="1" t="s">
        <v>82</v>
      </c>
      <c r="C52" s="1" t="s">
        <v>83</v>
      </c>
      <c r="F52" s="99"/>
      <c r="G52" s="99"/>
      <c r="H52" s="99"/>
      <c r="I52" s="99"/>
      <c r="J52" s="99"/>
      <c r="K52" s="99"/>
      <c r="L52" s="99"/>
    </row>
    <row r="53" spans="1:12" x14ac:dyDescent="0.25">
      <c r="A53" s="99"/>
      <c r="F53" s="99"/>
      <c r="G53" s="99"/>
      <c r="H53" s="99"/>
      <c r="I53" s="99"/>
      <c r="J53" s="99"/>
      <c r="K53" s="99"/>
      <c r="L53" s="99"/>
    </row>
    <row r="54" spans="1:12" x14ac:dyDescent="0.25">
      <c r="A54" s="52" t="s">
        <v>84</v>
      </c>
      <c r="B54" s="52"/>
      <c r="C54" s="52"/>
      <c r="D54" s="52"/>
      <c r="E54" s="52"/>
      <c r="F54" s="99"/>
      <c r="G54" s="99"/>
      <c r="H54" s="99"/>
      <c r="I54" s="99"/>
      <c r="J54" s="99"/>
      <c r="K54" s="99"/>
      <c r="L54" s="99"/>
    </row>
  </sheetData>
  <mergeCells count="40">
    <mergeCell ref="D2:E2"/>
    <mergeCell ref="G2:H2"/>
    <mergeCell ref="J2:K2"/>
    <mergeCell ref="M2:N2"/>
    <mergeCell ref="P2:Q2"/>
    <mergeCell ref="AZ2:BA2"/>
    <mergeCell ref="BC2:BD2"/>
    <mergeCell ref="V2:W2"/>
    <mergeCell ref="Y2:Z2"/>
    <mergeCell ref="AB2:AC2"/>
    <mergeCell ref="AE2:AF2"/>
    <mergeCell ref="AH2:AI2"/>
    <mergeCell ref="AK2:AL2"/>
    <mergeCell ref="M36:N36"/>
    <mergeCell ref="AN2:AO2"/>
    <mergeCell ref="AQ2:AR2"/>
    <mergeCell ref="AT2:AU2"/>
    <mergeCell ref="AW2:AX2"/>
    <mergeCell ref="S2:T2"/>
    <mergeCell ref="B30:E30"/>
    <mergeCell ref="B31:F31"/>
    <mergeCell ref="D36:E36"/>
    <mergeCell ref="G36:H36"/>
    <mergeCell ref="J36:K36"/>
    <mergeCell ref="AZ36:BA36"/>
    <mergeCell ref="BC36:BD36"/>
    <mergeCell ref="A39:C39"/>
    <mergeCell ref="C42:M43"/>
    <mergeCell ref="AH36:AI36"/>
    <mergeCell ref="AK36:AL36"/>
    <mergeCell ref="AN36:AO36"/>
    <mergeCell ref="AQ36:AR36"/>
    <mergeCell ref="AT36:AU36"/>
    <mergeCell ref="AW36:AX36"/>
    <mergeCell ref="P36:Q36"/>
    <mergeCell ref="S36:T36"/>
    <mergeCell ref="V36:W36"/>
    <mergeCell ref="Y36:Z36"/>
    <mergeCell ref="AB36:AC36"/>
    <mergeCell ref="AE36:AF3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20A4C-F307-4BC7-AD6C-F3D9DA63083C}">
  <dimension ref="A1:BN96"/>
  <sheetViews>
    <sheetView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A5" sqref="AA5:AB33"/>
    </sheetView>
  </sheetViews>
  <sheetFormatPr defaultColWidth="8.85546875" defaultRowHeight="15" x14ac:dyDescent="0.25"/>
  <cols>
    <col min="1" max="1" width="50.7109375" style="1" customWidth="1"/>
    <col min="2" max="2" width="11.5703125" style="1" customWidth="1"/>
    <col min="3" max="3" width="10.5703125" style="1" customWidth="1"/>
    <col min="4" max="4" width="7.7109375" style="1" customWidth="1"/>
    <col min="5" max="5" width="3.5703125" style="1" customWidth="1"/>
    <col min="6" max="7" width="7.7109375" style="1" customWidth="1"/>
    <col min="8" max="8" width="4" style="1" customWidth="1"/>
    <col min="9" max="10" width="6.7109375" style="1" customWidth="1"/>
    <col min="11" max="11" width="4" style="1" customWidth="1"/>
    <col min="12" max="13" width="7.7109375" style="1" customWidth="1"/>
    <col min="14" max="14" width="5.5703125" style="1" customWidth="1"/>
    <col min="15" max="16" width="7.7109375" style="1" customWidth="1"/>
    <col min="17" max="17" width="5.5703125" style="1" customWidth="1"/>
    <col min="18" max="18" width="7.7109375" style="1" bestFit="1" customWidth="1"/>
    <col min="19" max="19" width="7.85546875" style="1" bestFit="1" customWidth="1"/>
    <col min="20" max="20" width="5.5703125" style="1" customWidth="1"/>
    <col min="21" max="22" width="12.5703125" style="1" customWidth="1"/>
    <col min="23" max="23" width="3" style="1" customWidth="1"/>
    <col min="24" max="25" width="10.7109375" style="1" customWidth="1"/>
    <col min="26" max="26" width="5.7109375" style="1" bestFit="1" customWidth="1"/>
    <col min="27" max="28" width="8.140625" style="1" bestFit="1" customWidth="1"/>
    <col min="29" max="29" width="5.7109375" style="1" customWidth="1"/>
    <col min="30" max="30" width="8.28515625" style="1" customWidth="1"/>
    <col min="31" max="31" width="8.85546875" style="1" customWidth="1"/>
    <col min="32" max="32" width="5.7109375" style="1" customWidth="1"/>
    <col min="33" max="34" width="6.7109375" style="1" bestFit="1" customWidth="1"/>
    <col min="35" max="35" width="5.7109375" style="1" customWidth="1"/>
    <col min="36" max="36" width="7.140625" style="1" bestFit="1" customWidth="1"/>
    <col min="37" max="37" width="6.140625" style="1" bestFit="1" customWidth="1"/>
    <col min="38" max="38" width="7.7109375" style="1" bestFit="1" customWidth="1"/>
    <col min="39" max="40" width="8" style="1" bestFit="1" customWidth="1"/>
    <col min="41" max="41" width="3.28515625" style="1" customWidth="1"/>
    <col min="42" max="42" width="5.140625" style="1" bestFit="1" customWidth="1"/>
    <col min="43" max="43" width="6.140625" style="1" bestFit="1" customWidth="1"/>
    <col min="44" max="44" width="5.140625" style="1" customWidth="1"/>
    <col min="45" max="46" width="6.5703125" style="1" bestFit="1" customWidth="1"/>
    <col min="47" max="47" width="5.140625" style="1" customWidth="1"/>
    <col min="48" max="48" width="8.85546875" style="1" customWidth="1"/>
    <col min="49" max="49" width="8" style="1" customWidth="1"/>
    <col min="50" max="50" width="5.42578125" style="1" customWidth="1"/>
    <col min="51" max="52" width="6.7109375" style="1" customWidth="1"/>
    <col min="53" max="53" width="5.42578125" style="1" customWidth="1"/>
    <col min="54" max="55" width="8" style="1" customWidth="1"/>
    <col min="56" max="56" width="6.140625" style="1" customWidth="1"/>
    <col min="57" max="58" width="8" style="1" bestFit="1" customWidth="1"/>
    <col min="59" max="59" width="7.140625" style="1" bestFit="1" customWidth="1"/>
    <col min="60" max="60" width="6.140625" style="1" customWidth="1"/>
    <col min="61" max="62" width="6.5703125" style="1" bestFit="1" customWidth="1"/>
    <col min="63" max="64" width="8" style="1" customWidth="1"/>
    <col min="65" max="65" width="1.42578125" style="1" customWidth="1"/>
    <col min="66" max="67" width="8.7109375" style="1" customWidth="1"/>
    <col min="68" max="68" width="8.85546875" style="1" customWidth="1"/>
    <col min="69" max="16384" width="8.85546875" style="1"/>
  </cols>
  <sheetData>
    <row r="1" spans="1:62" ht="17.100000000000001" customHeight="1" thickBot="1" x14ac:dyDescent="0.3">
      <c r="A1" s="201" t="s">
        <v>198</v>
      </c>
      <c r="C1" s="171" t="s">
        <v>0</v>
      </c>
      <c r="D1" s="163">
        <v>0.02</v>
      </c>
      <c r="E1" s="38"/>
      <c r="F1" s="38"/>
      <c r="G1" s="193">
        <v>0.1</v>
      </c>
      <c r="H1" s="170" t="s">
        <v>1</v>
      </c>
      <c r="M1" s="91">
        <v>0.1</v>
      </c>
      <c r="X1" s="91">
        <v>0.5</v>
      </c>
      <c r="AL1" s="91">
        <v>0.1</v>
      </c>
      <c r="AM1" s="220"/>
      <c r="AN1" s="220"/>
    </row>
    <row r="2" spans="1:62" ht="45" customHeight="1" x14ac:dyDescent="0.25">
      <c r="A2" s="34"/>
      <c r="B2" s="39"/>
      <c r="C2" s="217" t="s">
        <v>2</v>
      </c>
      <c r="D2" s="217"/>
      <c r="E2" s="90"/>
      <c r="F2" s="218" t="s">
        <v>3</v>
      </c>
      <c r="G2" s="218"/>
      <c r="H2" s="52"/>
      <c r="I2" s="212" t="s">
        <v>4</v>
      </c>
      <c r="J2" s="212"/>
      <c r="K2" s="52"/>
      <c r="L2" s="219" t="s">
        <v>5</v>
      </c>
      <c r="M2" s="219"/>
      <c r="N2" s="52"/>
      <c r="O2" s="219" t="s">
        <v>6</v>
      </c>
      <c r="P2" s="219"/>
      <c r="Q2" s="52"/>
      <c r="R2" s="219" t="s">
        <v>7</v>
      </c>
      <c r="S2" s="219"/>
      <c r="T2" s="52"/>
      <c r="U2" s="214" t="s">
        <v>8</v>
      </c>
      <c r="V2" s="214"/>
      <c r="W2" s="52"/>
      <c r="X2" s="211" t="s">
        <v>9</v>
      </c>
      <c r="Y2" s="211"/>
      <c r="AA2" s="215" t="s">
        <v>10</v>
      </c>
      <c r="AB2" s="215"/>
      <c r="AD2" s="211" t="s">
        <v>11</v>
      </c>
      <c r="AE2" s="211"/>
      <c r="AG2" s="211" t="s">
        <v>12</v>
      </c>
      <c r="AH2" s="211"/>
      <c r="AJ2" s="211" t="s">
        <v>13</v>
      </c>
      <c r="AK2" s="211"/>
      <c r="AM2" s="211" t="s">
        <v>14</v>
      </c>
      <c r="AN2" s="211"/>
      <c r="AP2" s="212" t="s">
        <v>15</v>
      </c>
      <c r="AQ2" s="212"/>
      <c r="AS2" s="219" t="s">
        <v>16</v>
      </c>
      <c r="AT2" s="219"/>
      <c r="AV2" s="213" t="s">
        <v>17</v>
      </c>
      <c r="AW2" s="213"/>
      <c r="AY2" s="213" t="s">
        <v>18</v>
      </c>
      <c r="AZ2" s="213"/>
      <c r="BB2" s="213" t="s">
        <v>19</v>
      </c>
      <c r="BC2" s="213"/>
    </row>
    <row r="3" spans="1:62" s="34" customFormat="1" x14ac:dyDescent="0.25">
      <c r="C3" s="54" t="s">
        <v>20</v>
      </c>
      <c r="D3" s="54" t="s">
        <v>21</v>
      </c>
      <c r="E3" s="54"/>
      <c r="F3" s="34" t="s">
        <v>20</v>
      </c>
      <c r="G3" s="54" t="s">
        <v>21</v>
      </c>
      <c r="I3" s="34" t="s">
        <v>20</v>
      </c>
      <c r="J3" s="54" t="s">
        <v>21</v>
      </c>
      <c r="L3" s="34" t="s">
        <v>20</v>
      </c>
      <c r="M3" s="54" t="s">
        <v>21</v>
      </c>
      <c r="O3" s="34" t="s">
        <v>20</v>
      </c>
      <c r="P3" s="54" t="s">
        <v>21</v>
      </c>
      <c r="R3" s="34" t="s">
        <v>20</v>
      </c>
      <c r="S3" s="54" t="s">
        <v>21</v>
      </c>
      <c r="U3" s="34" t="s">
        <v>20</v>
      </c>
      <c r="V3" s="34" t="s">
        <v>21</v>
      </c>
      <c r="X3" s="34" t="s">
        <v>20</v>
      </c>
      <c r="Y3" s="34" t="s">
        <v>21</v>
      </c>
      <c r="AA3" s="34" t="s">
        <v>20</v>
      </c>
      <c r="AB3" s="34" t="s">
        <v>21</v>
      </c>
      <c r="AD3" s="34" t="s">
        <v>20</v>
      </c>
      <c r="AE3" s="34" t="s">
        <v>21</v>
      </c>
      <c r="AG3" s="34" t="s">
        <v>20</v>
      </c>
      <c r="AH3" s="34" t="s">
        <v>21</v>
      </c>
      <c r="AJ3" s="34" t="s">
        <v>20</v>
      </c>
      <c r="AK3" s="34" t="s">
        <v>21</v>
      </c>
      <c r="AM3" s="34" t="s">
        <v>20</v>
      </c>
      <c r="AN3" s="34" t="s">
        <v>21</v>
      </c>
      <c r="AP3" s="34" t="s">
        <v>20</v>
      </c>
      <c r="AQ3" s="34" t="s">
        <v>21</v>
      </c>
      <c r="AS3" s="34" t="s">
        <v>20</v>
      </c>
      <c r="AT3" s="34" t="s">
        <v>21</v>
      </c>
      <c r="AV3" s="34" t="s">
        <v>20</v>
      </c>
      <c r="AW3" s="54" t="s">
        <v>21</v>
      </c>
      <c r="AY3" s="34" t="s">
        <v>20</v>
      </c>
      <c r="AZ3" s="54" t="s">
        <v>21</v>
      </c>
      <c r="BB3" s="34" t="s">
        <v>20</v>
      </c>
      <c r="BC3" s="54" t="s">
        <v>21</v>
      </c>
    </row>
    <row r="4" spans="1:62" x14ac:dyDescent="0.25">
      <c r="B4" s="32" t="s">
        <v>22</v>
      </c>
      <c r="C4" s="76"/>
      <c r="D4" s="40"/>
      <c r="E4" s="40"/>
      <c r="F4" s="40"/>
      <c r="L4" s="39"/>
      <c r="M4" s="41"/>
      <c r="AA4" s="39"/>
      <c r="AB4" s="39"/>
    </row>
    <row r="5" spans="1:62" x14ac:dyDescent="0.25">
      <c r="B5" s="25" t="s">
        <v>23</v>
      </c>
      <c r="C5" s="149">
        <f>ROUND('ST Standard from 24 Feb 26'!C5*SUM(1+1*'ST Standard from 4 Jun26'!$D$1),2)</f>
        <v>9.66</v>
      </c>
      <c r="D5" s="149">
        <f>ROUND('ST Standard from 24 Feb 26'!D5*SUM(1+1*'ST Standard from 4 Jun26'!$D$1),2)</f>
        <v>14.76</v>
      </c>
      <c r="E5" s="41"/>
      <c r="F5" s="41">
        <f t="shared" ref="F5:G9" si="0">C5*SUM(1+$G$1/$X$1)</f>
        <v>11.592000000000001</v>
      </c>
      <c r="G5" s="41">
        <f t="shared" si="0"/>
        <v>17.712</v>
      </c>
      <c r="H5" s="82"/>
      <c r="I5" s="41">
        <f>F5-C5</f>
        <v>1.9320000000000004</v>
      </c>
      <c r="J5" s="41">
        <f>G5-D5</f>
        <v>2.952</v>
      </c>
      <c r="K5" s="82"/>
      <c r="L5" s="41">
        <f>ROUND(C5*(1+$G$1*2),2)*SUM(1+$M$1)</f>
        <v>12.749000000000001</v>
      </c>
      <c r="M5" s="41">
        <f t="shared" ref="L5:M9" si="1">ROUND(D5*(1+$G$1*2),2)*SUM(1+$M$1)</f>
        <v>19.481000000000002</v>
      </c>
      <c r="N5" s="82"/>
      <c r="O5" s="41">
        <f>L5-C5</f>
        <v>3.0890000000000004</v>
      </c>
      <c r="P5" s="41">
        <f>M5-D5</f>
        <v>4.7210000000000019</v>
      </c>
      <c r="Q5" s="82"/>
      <c r="R5" s="76">
        <f t="shared" ref="R5:S9" si="2">AJ5/F5</f>
        <v>0.10006901311249136</v>
      </c>
      <c r="S5" s="76">
        <f t="shared" si="2"/>
        <v>9.9932249322493227E-2</v>
      </c>
      <c r="T5" s="82"/>
      <c r="U5" s="41">
        <f t="shared" ref="U5:V9" si="3">SUM(C5/(1-$X$1))</f>
        <v>19.32</v>
      </c>
      <c r="V5" s="41">
        <f t="shared" si="3"/>
        <v>29.52</v>
      </c>
      <c r="W5" s="82"/>
      <c r="X5" s="41">
        <f>ROUND(C5/(1-$X$1)*1.2,2)</f>
        <v>23.18</v>
      </c>
      <c r="Y5" s="41">
        <f>ROUND(D5/(1-$X$1)*1.2,2)</f>
        <v>35.42</v>
      </c>
      <c r="AA5" s="182">
        <f>ROUNDDOWN(C5/(1-$X$1)*1.2,1)</f>
        <v>23.1</v>
      </c>
      <c r="AB5" s="182">
        <f>ROUNDDOWN(D5/(1-$X$1)*1.2,1)</f>
        <v>35.4</v>
      </c>
      <c r="AD5" s="40">
        <f>AA5/1.2</f>
        <v>19.250000000000004</v>
      </c>
      <c r="AE5" s="40">
        <f>AB5/1.2</f>
        <v>29.5</v>
      </c>
      <c r="AG5" s="40">
        <f>X5-AA5</f>
        <v>7.9999999999998295E-2</v>
      </c>
      <c r="AH5" s="40">
        <f>Y5-AB5</f>
        <v>2.0000000000003126E-2</v>
      </c>
      <c r="AJ5" s="40">
        <f t="shared" ref="AJ5:AK9" si="4">ROUND(L5*(1-(1/(1+$AL$1))),2)</f>
        <v>1.1599999999999999</v>
      </c>
      <c r="AK5" s="40">
        <f t="shared" si="4"/>
        <v>1.77</v>
      </c>
      <c r="AL5" s="40"/>
      <c r="AM5" s="180">
        <f>SUM(U5-F5)-AG5</f>
        <v>7.6480000000000015</v>
      </c>
      <c r="AN5" s="180">
        <f>SUM(V5-G5)-AH5</f>
        <v>11.787999999999997</v>
      </c>
      <c r="AP5" s="76">
        <f t="shared" ref="AP5:AQ9" si="5">(SUM(F5-C5)/C5)*$X$1</f>
        <v>0.10000000000000002</v>
      </c>
      <c r="AQ5" s="76">
        <f t="shared" si="5"/>
        <v>0.1</v>
      </c>
      <c r="AS5" s="76">
        <f t="shared" ref="AS5:AT9" si="6">AM5/U5</f>
        <v>0.39585921325051765</v>
      </c>
      <c r="AT5" s="76">
        <f t="shared" si="6"/>
        <v>0.39932249322493213</v>
      </c>
      <c r="AU5" s="40"/>
      <c r="AV5" s="76">
        <f t="shared" ref="AV5:AW9" si="7">C5/U5</f>
        <v>0.5</v>
      </c>
      <c r="AW5" s="76">
        <f t="shared" si="7"/>
        <v>0.5</v>
      </c>
      <c r="AX5" s="42"/>
      <c r="AY5" s="42">
        <f t="shared" ref="AY5:AZ9" si="8">I5+AM5</f>
        <v>9.5800000000000018</v>
      </c>
      <c r="AZ5" s="42">
        <f t="shared" si="8"/>
        <v>14.739999999999997</v>
      </c>
      <c r="BA5" s="42"/>
      <c r="BB5" s="76">
        <f t="shared" ref="BB5:BC9" si="9">AY5/(C5/$X$1)</f>
        <v>0.49585921325051768</v>
      </c>
      <c r="BC5" s="76">
        <f t="shared" si="9"/>
        <v>0.49932249322493216</v>
      </c>
      <c r="BE5" s="40"/>
      <c r="BF5" s="40"/>
      <c r="BG5" s="40"/>
      <c r="BH5" s="40"/>
      <c r="BI5" s="76"/>
      <c r="BJ5" s="76"/>
    </row>
    <row r="6" spans="1:62" x14ac:dyDescent="0.25">
      <c r="B6" s="25" t="s">
        <v>24</v>
      </c>
      <c r="C6" s="149">
        <f>ROUND('ST Standard from 24 Feb 26'!C6*SUM(1+1*'ST Standard from 4 Jun26'!$D$1),2)</f>
        <v>10.14</v>
      </c>
      <c r="D6" s="149">
        <f>ROUND('ST Standard from 24 Feb 26'!D6*SUM(1+1*'ST Standard from 4 Jun26'!$D$1),2)</f>
        <v>15.5</v>
      </c>
      <c r="E6" s="41"/>
      <c r="F6" s="41">
        <f t="shared" si="0"/>
        <v>12.168000000000001</v>
      </c>
      <c r="G6" s="41">
        <f t="shared" si="0"/>
        <v>18.599999999999998</v>
      </c>
      <c r="H6" s="82"/>
      <c r="I6" s="41">
        <f t="shared" ref="I6:J9" si="10">F6-C6</f>
        <v>2.0280000000000005</v>
      </c>
      <c r="J6" s="41">
        <f t="shared" si="10"/>
        <v>3.0999999999999979</v>
      </c>
      <c r="K6" s="82"/>
      <c r="L6" s="41">
        <f t="shared" si="1"/>
        <v>13.387</v>
      </c>
      <c r="M6" s="41">
        <f t="shared" si="1"/>
        <v>20.460000000000004</v>
      </c>
      <c r="N6" s="82"/>
      <c r="O6" s="41">
        <f t="shared" ref="O6:P9" si="11">L6-C6</f>
        <v>3.2469999999999999</v>
      </c>
      <c r="P6" s="41">
        <f t="shared" si="11"/>
        <v>4.9600000000000044</v>
      </c>
      <c r="Q6" s="82"/>
      <c r="R6" s="76">
        <f t="shared" si="2"/>
        <v>0.10026298487836949</v>
      </c>
      <c r="S6" s="76">
        <f t="shared" si="2"/>
        <v>0.10000000000000002</v>
      </c>
      <c r="T6" s="82"/>
      <c r="U6" s="41">
        <f t="shared" si="3"/>
        <v>20.28</v>
      </c>
      <c r="V6" s="41">
        <f t="shared" si="3"/>
        <v>31</v>
      </c>
      <c r="W6" s="82"/>
      <c r="X6" s="41">
        <f t="shared" ref="X6:Y9" si="12">ROUND(C6/(1-$X$1)*1.2,2)</f>
        <v>24.34</v>
      </c>
      <c r="Y6" s="41">
        <f t="shared" si="12"/>
        <v>37.200000000000003</v>
      </c>
      <c r="AA6" s="182">
        <f t="shared" ref="AA6:AB9" si="13">ROUNDDOWN(C6/(1-$X$1)*1.2,1)</f>
        <v>24.3</v>
      </c>
      <c r="AB6" s="182">
        <f t="shared" si="13"/>
        <v>37.200000000000003</v>
      </c>
      <c r="AD6" s="40">
        <f t="shared" ref="AD6:AE9" si="14">AA6/1.2</f>
        <v>20.25</v>
      </c>
      <c r="AE6" s="40">
        <f t="shared" si="14"/>
        <v>31.000000000000004</v>
      </c>
      <c r="AG6" s="40">
        <f t="shared" ref="AG6:AH9" si="15">X6-AA6</f>
        <v>3.9999999999999147E-2</v>
      </c>
      <c r="AH6" s="40">
        <f t="shared" si="15"/>
        <v>0</v>
      </c>
      <c r="AJ6" s="40">
        <f t="shared" si="4"/>
        <v>1.22</v>
      </c>
      <c r="AK6" s="40">
        <f t="shared" si="4"/>
        <v>1.86</v>
      </c>
      <c r="AL6" s="40"/>
      <c r="AM6" s="180">
        <f t="shared" ref="AM6:AN9" si="16">SUM(U6-F6)-AG6</f>
        <v>8.072000000000001</v>
      </c>
      <c r="AN6" s="180">
        <f t="shared" si="16"/>
        <v>12.400000000000002</v>
      </c>
      <c r="AP6" s="76">
        <f t="shared" si="5"/>
        <v>0.10000000000000002</v>
      </c>
      <c r="AQ6" s="76">
        <f t="shared" si="5"/>
        <v>9.9999999999999936E-2</v>
      </c>
      <c r="AS6" s="76">
        <f t="shared" si="6"/>
        <v>0.39802761341222881</v>
      </c>
      <c r="AT6" s="76">
        <f t="shared" si="6"/>
        <v>0.40000000000000008</v>
      </c>
      <c r="AV6" s="76">
        <f t="shared" si="7"/>
        <v>0.5</v>
      </c>
      <c r="AW6" s="76">
        <f t="shared" si="7"/>
        <v>0.5</v>
      </c>
      <c r="AX6" s="42"/>
      <c r="AY6" s="42">
        <f t="shared" si="8"/>
        <v>10.100000000000001</v>
      </c>
      <c r="AZ6" s="42">
        <f t="shared" si="8"/>
        <v>15.5</v>
      </c>
      <c r="BA6" s="42"/>
      <c r="BB6" s="76">
        <f t="shared" si="9"/>
        <v>0.49802761341222884</v>
      </c>
      <c r="BC6" s="76">
        <f t="shared" si="9"/>
        <v>0.5</v>
      </c>
      <c r="BF6" s="40"/>
      <c r="BG6" s="40"/>
      <c r="BI6" s="76"/>
      <c r="BJ6" s="76"/>
    </row>
    <row r="7" spans="1:62" x14ac:dyDescent="0.25">
      <c r="B7" s="25" t="s">
        <v>25</v>
      </c>
      <c r="C7" s="149">
        <f>ROUND('ST Standard from 24 Feb 26'!C7*SUM(1+1*'ST Standard from 4 Jun26'!$D$1),2)</f>
        <v>11.19</v>
      </c>
      <c r="D7" s="149">
        <f>ROUND('ST Standard from 24 Feb 26'!D7*SUM(1+1*'ST Standard from 4 Jun26'!$D$1),2)</f>
        <v>17.13</v>
      </c>
      <c r="E7" s="41"/>
      <c r="F7" s="41">
        <f t="shared" si="0"/>
        <v>13.427999999999999</v>
      </c>
      <c r="G7" s="41">
        <f t="shared" si="0"/>
        <v>20.555999999999997</v>
      </c>
      <c r="H7" s="82"/>
      <c r="I7" s="41">
        <f t="shared" si="10"/>
        <v>2.2379999999999995</v>
      </c>
      <c r="J7" s="41">
        <f t="shared" si="10"/>
        <v>3.4259999999999984</v>
      </c>
      <c r="K7" s="82"/>
      <c r="L7" s="41">
        <f t="shared" si="1"/>
        <v>14.773000000000001</v>
      </c>
      <c r="M7" s="41">
        <f t="shared" si="1"/>
        <v>22.616</v>
      </c>
      <c r="N7" s="82"/>
      <c r="O7" s="41">
        <f t="shared" si="11"/>
        <v>3.583000000000002</v>
      </c>
      <c r="P7" s="41">
        <f t="shared" si="11"/>
        <v>5.4860000000000007</v>
      </c>
      <c r="Q7" s="82"/>
      <c r="R7" s="76">
        <f t="shared" si="2"/>
        <v>9.9791480488531439E-2</v>
      </c>
      <c r="S7" s="76">
        <f t="shared" si="2"/>
        <v>0.10021404942595838</v>
      </c>
      <c r="T7" s="82"/>
      <c r="U7" s="41">
        <f t="shared" si="3"/>
        <v>22.38</v>
      </c>
      <c r="V7" s="41">
        <f t="shared" si="3"/>
        <v>34.26</v>
      </c>
      <c r="W7" s="82"/>
      <c r="X7" s="41">
        <f t="shared" si="12"/>
        <v>26.86</v>
      </c>
      <c r="Y7" s="41">
        <f t="shared" si="12"/>
        <v>41.11</v>
      </c>
      <c r="AA7" s="182">
        <f t="shared" si="13"/>
        <v>26.8</v>
      </c>
      <c r="AB7" s="182">
        <f t="shared" si="13"/>
        <v>41.1</v>
      </c>
      <c r="AD7" s="40">
        <f t="shared" si="14"/>
        <v>22.333333333333336</v>
      </c>
      <c r="AE7" s="40">
        <f t="shared" si="14"/>
        <v>34.25</v>
      </c>
      <c r="AG7" s="40">
        <f t="shared" si="15"/>
        <v>5.9999999999998721E-2</v>
      </c>
      <c r="AH7" s="40">
        <f t="shared" si="15"/>
        <v>9.9999999999980105E-3</v>
      </c>
      <c r="AJ7" s="40">
        <f t="shared" si="4"/>
        <v>1.34</v>
      </c>
      <c r="AK7" s="40">
        <f t="shared" si="4"/>
        <v>2.06</v>
      </c>
      <c r="AL7" s="40"/>
      <c r="AM7" s="180">
        <f t="shared" si="16"/>
        <v>8.8920000000000012</v>
      </c>
      <c r="AN7" s="180">
        <f t="shared" si="16"/>
        <v>13.694000000000003</v>
      </c>
      <c r="AP7" s="76">
        <f t="shared" si="5"/>
        <v>9.9999999999999978E-2</v>
      </c>
      <c r="AQ7" s="76">
        <f t="shared" si="5"/>
        <v>9.9999999999999964E-2</v>
      </c>
      <c r="AS7" s="76">
        <f t="shared" si="6"/>
        <v>0.39731903485254699</v>
      </c>
      <c r="AT7" s="76">
        <f t="shared" si="6"/>
        <v>0.39970811441914778</v>
      </c>
      <c r="AV7" s="76">
        <f t="shared" si="7"/>
        <v>0.5</v>
      </c>
      <c r="AW7" s="76">
        <f t="shared" si="7"/>
        <v>0.5</v>
      </c>
      <c r="AX7" s="42"/>
      <c r="AY7" s="42">
        <f t="shared" si="8"/>
        <v>11.13</v>
      </c>
      <c r="AZ7" s="42">
        <f t="shared" si="8"/>
        <v>17.12</v>
      </c>
      <c r="BA7" s="42"/>
      <c r="BB7" s="76">
        <f t="shared" si="9"/>
        <v>0.49731903485254697</v>
      </c>
      <c r="BC7" s="76">
        <f t="shared" si="9"/>
        <v>0.49970811441914775</v>
      </c>
      <c r="BF7" s="40"/>
      <c r="BG7" s="40"/>
      <c r="BI7" s="76"/>
      <c r="BJ7" s="76"/>
    </row>
    <row r="8" spans="1:62" x14ac:dyDescent="0.25">
      <c r="B8" s="25" t="s">
        <v>26</v>
      </c>
      <c r="C8" s="149">
        <f>ROUND('ST Standard from 24 Feb 26'!C8*SUM(1+1*'ST Standard from 4 Jun26'!$D$1),2)</f>
        <v>12.34</v>
      </c>
      <c r="D8" s="149">
        <f>ROUND('ST Standard from 24 Feb 26'!D8*SUM(1+1*'ST Standard from 4 Jun26'!$D$1),2)</f>
        <v>18.86</v>
      </c>
      <c r="E8" s="41"/>
      <c r="F8" s="41">
        <f t="shared" si="0"/>
        <v>14.808</v>
      </c>
      <c r="G8" s="41">
        <f t="shared" si="0"/>
        <v>22.631999999999998</v>
      </c>
      <c r="H8" s="82"/>
      <c r="I8" s="41">
        <f t="shared" si="10"/>
        <v>2.468</v>
      </c>
      <c r="J8" s="41">
        <f t="shared" si="10"/>
        <v>3.7719999999999985</v>
      </c>
      <c r="K8" s="82"/>
      <c r="L8" s="41">
        <f t="shared" si="1"/>
        <v>16.291</v>
      </c>
      <c r="M8" s="41">
        <f t="shared" si="1"/>
        <v>24.893000000000001</v>
      </c>
      <c r="N8" s="82"/>
      <c r="O8" s="41">
        <f t="shared" si="11"/>
        <v>3.9510000000000005</v>
      </c>
      <c r="P8" s="41">
        <f t="shared" si="11"/>
        <v>6.0330000000000013</v>
      </c>
      <c r="Q8" s="82"/>
      <c r="R8" s="76">
        <f t="shared" si="2"/>
        <v>9.9945975148568345E-2</v>
      </c>
      <c r="S8" s="76">
        <f t="shared" si="2"/>
        <v>9.9858607281724993E-2</v>
      </c>
      <c r="T8" s="82"/>
      <c r="U8" s="41">
        <f t="shared" si="3"/>
        <v>24.68</v>
      </c>
      <c r="V8" s="41">
        <f t="shared" si="3"/>
        <v>37.72</v>
      </c>
      <c r="W8" s="82"/>
      <c r="X8" s="41">
        <f t="shared" si="12"/>
        <v>29.62</v>
      </c>
      <c r="Y8" s="41">
        <f t="shared" si="12"/>
        <v>45.26</v>
      </c>
      <c r="AA8" s="182">
        <f t="shared" si="13"/>
        <v>29.6</v>
      </c>
      <c r="AB8" s="182">
        <f t="shared" si="13"/>
        <v>45.2</v>
      </c>
      <c r="AD8" s="40">
        <f t="shared" si="14"/>
        <v>24.666666666666668</v>
      </c>
      <c r="AE8" s="40">
        <f t="shared" si="14"/>
        <v>37.666666666666671</v>
      </c>
      <c r="AG8" s="40">
        <f t="shared" si="15"/>
        <v>1.9999999999999574E-2</v>
      </c>
      <c r="AH8" s="40">
        <f t="shared" si="15"/>
        <v>5.9999999999995168E-2</v>
      </c>
      <c r="AJ8" s="40">
        <f t="shared" si="4"/>
        <v>1.48</v>
      </c>
      <c r="AK8" s="40">
        <f t="shared" si="4"/>
        <v>2.2599999999999998</v>
      </c>
      <c r="AL8" s="40"/>
      <c r="AM8" s="180">
        <f t="shared" si="16"/>
        <v>9.8520000000000003</v>
      </c>
      <c r="AN8" s="180">
        <f t="shared" si="16"/>
        <v>15.028000000000006</v>
      </c>
      <c r="AP8" s="76">
        <f t="shared" si="5"/>
        <v>0.1</v>
      </c>
      <c r="AQ8" s="76">
        <f t="shared" si="5"/>
        <v>9.9999999999999964E-2</v>
      </c>
      <c r="AS8" s="76">
        <f t="shared" si="6"/>
        <v>0.39918962722852513</v>
      </c>
      <c r="AT8" s="76">
        <f t="shared" si="6"/>
        <v>0.39840933191940631</v>
      </c>
      <c r="AV8" s="76">
        <f t="shared" si="7"/>
        <v>0.5</v>
      </c>
      <c r="AW8" s="76">
        <f t="shared" si="7"/>
        <v>0.5</v>
      </c>
      <c r="AX8" s="42"/>
      <c r="AY8" s="42">
        <f t="shared" si="8"/>
        <v>12.32</v>
      </c>
      <c r="AZ8" s="42">
        <f t="shared" si="8"/>
        <v>18.800000000000004</v>
      </c>
      <c r="BA8" s="42"/>
      <c r="BB8" s="76">
        <f t="shared" si="9"/>
        <v>0.49918962722852511</v>
      </c>
      <c r="BC8" s="76">
        <f t="shared" si="9"/>
        <v>0.49840933191940628</v>
      </c>
      <c r="BF8" s="40"/>
      <c r="BG8" s="40"/>
      <c r="BI8" s="76"/>
      <c r="BJ8" s="76"/>
    </row>
    <row r="9" spans="1:62" x14ac:dyDescent="0.25">
      <c r="B9" s="25" t="s">
        <v>27</v>
      </c>
      <c r="C9" s="149">
        <f>ROUND('ST Standard from 24 Feb 26'!C9*SUM(1+1*'ST Standard from 4 Jun26'!$D$1),2)</f>
        <v>12.36</v>
      </c>
      <c r="D9" s="149">
        <f>ROUND('ST Standard from 24 Feb 26'!D9*SUM(1+1*'ST Standard from 4 Jun26'!$D$1),2)</f>
        <v>18.87</v>
      </c>
      <c r="E9" s="41"/>
      <c r="F9" s="41">
        <f t="shared" si="0"/>
        <v>14.831999999999999</v>
      </c>
      <c r="G9" s="41">
        <f t="shared" si="0"/>
        <v>22.644000000000002</v>
      </c>
      <c r="H9" s="82"/>
      <c r="I9" s="41">
        <f t="shared" si="10"/>
        <v>2.4719999999999995</v>
      </c>
      <c r="J9" s="41">
        <f t="shared" si="10"/>
        <v>3.7740000000000009</v>
      </c>
      <c r="K9" s="82"/>
      <c r="L9" s="41">
        <f t="shared" si="1"/>
        <v>16.313000000000002</v>
      </c>
      <c r="M9" s="41">
        <f t="shared" si="1"/>
        <v>24.904000000000003</v>
      </c>
      <c r="N9" s="82"/>
      <c r="O9" s="41">
        <f t="shared" si="11"/>
        <v>3.953000000000003</v>
      </c>
      <c r="P9" s="41">
        <f t="shared" si="11"/>
        <v>6.0340000000000025</v>
      </c>
      <c r="Q9" s="82"/>
      <c r="R9" s="76">
        <f t="shared" si="2"/>
        <v>9.9784250269687166E-2</v>
      </c>
      <c r="S9" s="76">
        <f t="shared" si="2"/>
        <v>9.9805688040982138E-2</v>
      </c>
      <c r="T9" s="82"/>
      <c r="U9" s="41">
        <f t="shared" si="3"/>
        <v>24.72</v>
      </c>
      <c r="V9" s="41">
        <f t="shared" si="3"/>
        <v>37.74</v>
      </c>
      <c r="W9" s="82"/>
      <c r="X9" s="41">
        <f t="shared" si="12"/>
        <v>29.66</v>
      </c>
      <c r="Y9" s="41">
        <f t="shared" si="12"/>
        <v>45.29</v>
      </c>
      <c r="AA9" s="182">
        <f t="shared" si="13"/>
        <v>29.6</v>
      </c>
      <c r="AB9" s="182">
        <f t="shared" si="13"/>
        <v>45.2</v>
      </c>
      <c r="AD9" s="40">
        <f t="shared" si="14"/>
        <v>24.666666666666668</v>
      </c>
      <c r="AE9" s="40">
        <f t="shared" si="14"/>
        <v>37.666666666666671</v>
      </c>
      <c r="AG9" s="40">
        <f t="shared" si="15"/>
        <v>5.9999999999998721E-2</v>
      </c>
      <c r="AH9" s="40">
        <f t="shared" si="15"/>
        <v>8.9999999999996305E-2</v>
      </c>
      <c r="AJ9" s="40">
        <f t="shared" si="4"/>
        <v>1.48</v>
      </c>
      <c r="AK9" s="40">
        <f t="shared" si="4"/>
        <v>2.2599999999999998</v>
      </c>
      <c r="AL9" s="40"/>
      <c r="AM9" s="180">
        <f t="shared" si="16"/>
        <v>9.8280000000000012</v>
      </c>
      <c r="AN9" s="180">
        <f t="shared" si="16"/>
        <v>15.006000000000004</v>
      </c>
      <c r="AP9" s="76">
        <f t="shared" si="5"/>
        <v>9.9999999999999992E-2</v>
      </c>
      <c r="AQ9" s="76">
        <f t="shared" si="5"/>
        <v>0.10000000000000002</v>
      </c>
      <c r="AS9" s="76">
        <f t="shared" si="6"/>
        <v>0.39757281553398066</v>
      </c>
      <c r="AT9" s="76">
        <f t="shared" si="6"/>
        <v>0.39761526232114475</v>
      </c>
      <c r="AV9" s="76">
        <f t="shared" si="7"/>
        <v>0.5</v>
      </c>
      <c r="AW9" s="76">
        <f t="shared" si="7"/>
        <v>0.5</v>
      </c>
      <c r="AX9" s="42"/>
      <c r="AY9" s="42">
        <f t="shared" si="8"/>
        <v>12.3</v>
      </c>
      <c r="AZ9" s="42">
        <f t="shared" si="8"/>
        <v>18.780000000000005</v>
      </c>
      <c r="BA9" s="42"/>
      <c r="BB9" s="76">
        <f t="shared" si="9"/>
        <v>0.49757281553398064</v>
      </c>
      <c r="BC9" s="76">
        <f t="shared" si="9"/>
        <v>0.49761526232114478</v>
      </c>
      <c r="BF9" s="40"/>
      <c r="BG9" s="40"/>
      <c r="BI9" s="76"/>
      <c r="BJ9" s="76"/>
    </row>
    <row r="10" spans="1:62" x14ac:dyDescent="0.25">
      <c r="B10" s="25"/>
      <c r="C10" s="41"/>
      <c r="D10" s="41"/>
      <c r="E10" s="41"/>
      <c r="F10" s="41"/>
      <c r="G10" s="41"/>
      <c r="H10" s="4"/>
      <c r="I10" s="4"/>
      <c r="J10" s="4"/>
      <c r="K10" s="4"/>
      <c r="L10" s="41"/>
      <c r="M10" s="41"/>
      <c r="N10" s="4"/>
      <c r="O10" s="4"/>
      <c r="P10" s="4"/>
      <c r="Q10" s="4"/>
      <c r="R10" s="78"/>
      <c r="T10" s="4"/>
      <c r="U10" s="4"/>
      <c r="V10" s="4"/>
      <c r="W10" s="4"/>
      <c r="AJ10" s="40"/>
      <c r="AK10" s="40"/>
      <c r="AL10" s="40"/>
      <c r="AS10" s="103"/>
      <c r="AT10" s="103"/>
      <c r="AV10" s="40"/>
      <c r="AW10" s="40"/>
      <c r="BB10" s="77"/>
      <c r="BC10" s="77"/>
    </row>
    <row r="11" spans="1:62" x14ac:dyDescent="0.25">
      <c r="B11" s="32" t="s">
        <v>28</v>
      </c>
      <c r="C11" s="41"/>
      <c r="D11" s="41"/>
      <c r="E11" s="41"/>
      <c r="F11" s="41"/>
      <c r="G11" s="41"/>
      <c r="H11" s="4"/>
      <c r="I11" s="4"/>
      <c r="J11" s="4"/>
      <c r="K11" s="4"/>
      <c r="L11" s="41"/>
      <c r="M11" s="41"/>
      <c r="N11" s="4"/>
      <c r="O11" s="4"/>
      <c r="P11" s="4"/>
      <c r="Q11" s="4"/>
      <c r="R11" s="78"/>
      <c r="T11" s="4"/>
      <c r="U11" s="4"/>
      <c r="V11" s="4"/>
      <c r="W11" s="4"/>
      <c r="AJ11" s="40"/>
      <c r="AK11" s="40"/>
      <c r="AL11" s="40"/>
      <c r="AS11" s="103"/>
      <c r="AT11" s="103"/>
      <c r="AV11" s="40"/>
      <c r="AW11" s="40"/>
      <c r="BB11" s="77"/>
      <c r="BC11" s="77"/>
    </row>
    <row r="12" spans="1:62" x14ac:dyDescent="0.25">
      <c r="B12" s="25" t="s">
        <v>23</v>
      </c>
      <c r="C12" s="149">
        <f>ROUND('ST Standard from 24 Feb 26'!C12*SUM(1+1*'ST Standard from 4 Jun26'!$D$1),2)</f>
        <v>12.2</v>
      </c>
      <c r="D12" s="149">
        <f>ROUND('ST Standard from 24 Feb 26'!D12*SUM(1+1*'ST Standard from 4 Jun26'!$D$1),2)</f>
        <v>20.09</v>
      </c>
      <c r="E12" s="41"/>
      <c r="F12" s="41">
        <f t="shared" ref="F12:G17" si="17">C12*SUM(1+$G$1/$X$1)</f>
        <v>14.639999999999999</v>
      </c>
      <c r="G12" s="41">
        <f t="shared" si="17"/>
        <v>24.108000000000001</v>
      </c>
      <c r="H12" s="82"/>
      <c r="I12" s="41">
        <f t="shared" ref="I12:J17" si="18">F12-C12</f>
        <v>2.4399999999999995</v>
      </c>
      <c r="J12" s="41">
        <f t="shared" si="18"/>
        <v>4.0180000000000007</v>
      </c>
      <c r="K12" s="82"/>
      <c r="L12" s="41">
        <f t="shared" ref="L12:M17" si="19">ROUND(C12*(1+$G$1*2),2)*SUM(1+$M$1)</f>
        <v>16.104000000000003</v>
      </c>
      <c r="M12" s="41">
        <f t="shared" si="19"/>
        <v>26.521000000000001</v>
      </c>
      <c r="N12" s="82"/>
      <c r="O12" s="41">
        <f t="shared" ref="O12:P17" si="20">L12-C12</f>
        <v>3.9040000000000035</v>
      </c>
      <c r="P12" s="41">
        <f t="shared" si="20"/>
        <v>6.4310000000000009</v>
      </c>
      <c r="Q12" s="82"/>
      <c r="R12" s="76">
        <f t="shared" ref="R12:S17" si="21">AJ12/F12</f>
        <v>9.9726775956284153E-2</v>
      </c>
      <c r="S12" s="76">
        <f t="shared" si="21"/>
        <v>9.9966815994690567E-2</v>
      </c>
      <c r="T12" s="82"/>
      <c r="U12" s="41">
        <f t="shared" ref="U12:V17" si="22">SUM(C12/(1-$X$1))</f>
        <v>24.4</v>
      </c>
      <c r="V12" s="41">
        <f t="shared" si="22"/>
        <v>40.18</v>
      </c>
      <c r="W12" s="82"/>
      <c r="X12" s="41">
        <f t="shared" ref="X12:Y17" si="23">ROUND(C12/(1-$X$1)*1.2,2)</f>
        <v>29.28</v>
      </c>
      <c r="Y12" s="41">
        <f t="shared" si="23"/>
        <v>48.22</v>
      </c>
      <c r="AA12" s="182">
        <f>ROUNDDOWN(C12/(1-$X$1)*1.2,1)</f>
        <v>29.2</v>
      </c>
      <c r="AB12" s="182">
        <f>ROUNDDOWN(D12/(1-$X$1)*1.2,1)</f>
        <v>48.2</v>
      </c>
      <c r="AD12" s="40">
        <f t="shared" ref="AD12:AE17" si="24">AA12/1.2</f>
        <v>24.333333333333332</v>
      </c>
      <c r="AE12" s="40">
        <f t="shared" si="24"/>
        <v>40.166666666666671</v>
      </c>
      <c r="AG12" s="40">
        <f>X12-AA12</f>
        <v>8.0000000000001847E-2</v>
      </c>
      <c r="AH12" s="40">
        <f>Y12-AB12</f>
        <v>1.9999999999996021E-2</v>
      </c>
      <c r="AJ12" s="40">
        <f t="shared" ref="AJ12:AK17" si="25">ROUND(L12*(1-(1/(1+$AL$1))),2)</f>
        <v>1.46</v>
      </c>
      <c r="AK12" s="40">
        <f t="shared" si="25"/>
        <v>2.41</v>
      </c>
      <c r="AL12" s="40"/>
      <c r="AM12" s="180">
        <f>SUM(U12-F12)-AG12</f>
        <v>9.6799999999999979</v>
      </c>
      <c r="AN12" s="180">
        <f>SUM(V12-G12)-AH12</f>
        <v>16.052000000000003</v>
      </c>
      <c r="AP12" s="76">
        <f t="shared" ref="AP12:AQ17" si="26">(SUM(F12-C12)/C12)*$X$1</f>
        <v>9.9999999999999992E-2</v>
      </c>
      <c r="AQ12" s="76">
        <f t="shared" si="26"/>
        <v>0.10000000000000002</v>
      </c>
      <c r="AS12" s="76">
        <f t="shared" ref="AS12:AT17" si="27">AM12/U12</f>
        <v>0.39672131147540979</v>
      </c>
      <c r="AT12" s="76">
        <f t="shared" si="27"/>
        <v>0.39950223992035849</v>
      </c>
      <c r="AV12" s="76">
        <f t="shared" ref="AV12:AW17" si="28">C12/U12</f>
        <v>0.5</v>
      </c>
      <c r="AW12" s="76">
        <f t="shared" si="28"/>
        <v>0.5</v>
      </c>
      <c r="AX12" s="42"/>
      <c r="AY12" s="42">
        <f t="shared" ref="AY12:AZ17" si="29">I12+AM12</f>
        <v>12.119999999999997</v>
      </c>
      <c r="AZ12" s="42">
        <f t="shared" si="29"/>
        <v>20.070000000000004</v>
      </c>
      <c r="BA12" s="42"/>
      <c r="BB12" s="76">
        <f t="shared" ref="BB12:BC17" si="30">AY12/(C12/$X$1)</f>
        <v>0.49672131147540977</v>
      </c>
      <c r="BC12" s="76">
        <f t="shared" si="30"/>
        <v>0.49950223992035847</v>
      </c>
      <c r="BF12" s="40"/>
      <c r="BG12" s="40"/>
    </row>
    <row r="13" spans="1:62" x14ac:dyDescent="0.25">
      <c r="B13" s="25" t="s">
        <v>24</v>
      </c>
      <c r="C13" s="149">
        <f>ROUND('ST Standard from 24 Feb 26'!C13*SUM(1+1*'ST Standard from 4 Jun26'!$D$1),2)</f>
        <v>15.7</v>
      </c>
      <c r="D13" s="149">
        <f>ROUND('ST Standard from 24 Feb 26'!D13*SUM(1+1*'ST Standard from 4 Jun26'!$D$1),2)</f>
        <v>24.05</v>
      </c>
      <c r="E13" s="41"/>
      <c r="F13" s="41">
        <f t="shared" si="17"/>
        <v>18.84</v>
      </c>
      <c r="G13" s="41">
        <f t="shared" si="17"/>
        <v>28.86</v>
      </c>
      <c r="H13" s="82"/>
      <c r="I13" s="41">
        <f t="shared" si="18"/>
        <v>3.1400000000000006</v>
      </c>
      <c r="J13" s="41">
        <f t="shared" si="18"/>
        <v>4.8099999999999987</v>
      </c>
      <c r="K13" s="82"/>
      <c r="L13" s="41">
        <f t="shared" si="19"/>
        <v>20.724</v>
      </c>
      <c r="M13" s="41">
        <f t="shared" si="19"/>
        <v>31.746000000000002</v>
      </c>
      <c r="N13" s="82"/>
      <c r="O13" s="41">
        <f t="shared" si="20"/>
        <v>5.0240000000000009</v>
      </c>
      <c r="P13" s="41">
        <f t="shared" si="20"/>
        <v>7.6960000000000015</v>
      </c>
      <c r="Q13" s="82"/>
      <c r="R13" s="76">
        <f t="shared" si="21"/>
        <v>9.9787685774946913E-2</v>
      </c>
      <c r="S13" s="76">
        <f t="shared" si="21"/>
        <v>0.10013860013860014</v>
      </c>
      <c r="T13" s="82"/>
      <c r="U13" s="41">
        <f t="shared" si="22"/>
        <v>31.4</v>
      </c>
      <c r="V13" s="41">
        <f t="shared" si="22"/>
        <v>48.1</v>
      </c>
      <c r="W13" s="82"/>
      <c r="X13" s="41">
        <f t="shared" si="23"/>
        <v>37.68</v>
      </c>
      <c r="Y13" s="41">
        <f t="shared" si="23"/>
        <v>57.72</v>
      </c>
      <c r="AA13" s="182">
        <f t="shared" ref="AA13:AB16" si="31">ROUNDDOWN(C13/(1-$X$1)*1.2,1)</f>
        <v>37.6</v>
      </c>
      <c r="AB13" s="182">
        <f t="shared" si="31"/>
        <v>57.7</v>
      </c>
      <c r="AD13" s="40">
        <f t="shared" si="24"/>
        <v>31.333333333333336</v>
      </c>
      <c r="AE13" s="40">
        <f t="shared" si="24"/>
        <v>48.083333333333336</v>
      </c>
      <c r="AG13" s="40">
        <f t="shared" ref="AG13:AH17" si="32">X13-AA13</f>
        <v>7.9999999999998295E-2</v>
      </c>
      <c r="AH13" s="40">
        <f t="shared" si="32"/>
        <v>1.9999999999996021E-2</v>
      </c>
      <c r="AJ13" s="40">
        <f t="shared" si="25"/>
        <v>1.88</v>
      </c>
      <c r="AK13" s="40">
        <f t="shared" si="25"/>
        <v>2.89</v>
      </c>
      <c r="AL13" s="40"/>
      <c r="AM13" s="180">
        <f t="shared" ref="AM13:AN17" si="33">SUM(U13-F13)-AG13</f>
        <v>12.48</v>
      </c>
      <c r="AN13" s="180">
        <f t="shared" si="33"/>
        <v>19.220000000000006</v>
      </c>
      <c r="AP13" s="76">
        <f t="shared" si="26"/>
        <v>0.10000000000000002</v>
      </c>
      <c r="AQ13" s="76">
        <f t="shared" si="26"/>
        <v>9.9999999999999964E-2</v>
      </c>
      <c r="AS13" s="76">
        <f t="shared" si="27"/>
        <v>0.39745222929936308</v>
      </c>
      <c r="AT13" s="76">
        <f t="shared" si="27"/>
        <v>0.39958419958419972</v>
      </c>
      <c r="AV13" s="76">
        <f t="shared" si="28"/>
        <v>0.5</v>
      </c>
      <c r="AW13" s="76">
        <f t="shared" si="28"/>
        <v>0.5</v>
      </c>
      <c r="AX13" s="42"/>
      <c r="AY13" s="42">
        <f t="shared" si="29"/>
        <v>15.620000000000001</v>
      </c>
      <c r="AZ13" s="42">
        <f t="shared" si="29"/>
        <v>24.030000000000005</v>
      </c>
      <c r="BA13" s="42"/>
      <c r="BB13" s="76">
        <f t="shared" si="30"/>
        <v>0.49745222929936311</v>
      </c>
      <c r="BC13" s="76">
        <f t="shared" si="30"/>
        <v>0.49958419958419964</v>
      </c>
      <c r="BF13" s="40"/>
      <c r="BG13" s="40"/>
    </row>
    <row r="14" spans="1:62" x14ac:dyDescent="0.25">
      <c r="B14" s="25" t="s">
        <v>25</v>
      </c>
      <c r="C14" s="149">
        <f>ROUND('ST Standard from 24 Feb 26'!C14*SUM(1+1*'ST Standard from 4 Jun26'!$D$1),2)</f>
        <v>18.48</v>
      </c>
      <c r="D14" s="149">
        <f>ROUND('ST Standard from 24 Feb 26'!D14*SUM(1+1*'ST Standard from 4 Jun26'!$D$1),2)</f>
        <v>26.97</v>
      </c>
      <c r="E14" s="41"/>
      <c r="F14" s="41">
        <f t="shared" si="17"/>
        <v>22.175999999999998</v>
      </c>
      <c r="G14" s="41">
        <f t="shared" si="17"/>
        <v>32.363999999999997</v>
      </c>
      <c r="H14" s="82"/>
      <c r="I14" s="41">
        <f t="shared" si="18"/>
        <v>3.695999999999998</v>
      </c>
      <c r="J14" s="41">
        <f t="shared" si="18"/>
        <v>5.3939999999999984</v>
      </c>
      <c r="K14" s="82"/>
      <c r="L14" s="41">
        <f t="shared" si="19"/>
        <v>24.398000000000003</v>
      </c>
      <c r="M14" s="41">
        <f t="shared" si="19"/>
        <v>35.596000000000004</v>
      </c>
      <c r="N14" s="82"/>
      <c r="O14" s="41">
        <f t="shared" si="20"/>
        <v>5.9180000000000028</v>
      </c>
      <c r="P14" s="41">
        <f t="shared" si="20"/>
        <v>8.6260000000000048</v>
      </c>
      <c r="Q14" s="82"/>
      <c r="R14" s="76">
        <f t="shared" si="21"/>
        <v>0.10010822510822512</v>
      </c>
      <c r="S14" s="76">
        <f t="shared" si="21"/>
        <v>0.10011123470522805</v>
      </c>
      <c r="T14" s="82"/>
      <c r="U14" s="41">
        <f t="shared" si="22"/>
        <v>36.96</v>
      </c>
      <c r="V14" s="41">
        <f t="shared" si="22"/>
        <v>53.94</v>
      </c>
      <c r="W14" s="82"/>
      <c r="X14" s="41">
        <f t="shared" si="23"/>
        <v>44.35</v>
      </c>
      <c r="Y14" s="41">
        <f t="shared" si="23"/>
        <v>64.73</v>
      </c>
      <c r="AA14" s="182">
        <f t="shared" si="31"/>
        <v>44.3</v>
      </c>
      <c r="AB14" s="182">
        <f t="shared" si="31"/>
        <v>64.7</v>
      </c>
      <c r="AD14" s="40">
        <f t="shared" si="24"/>
        <v>36.916666666666664</v>
      </c>
      <c r="AE14" s="40">
        <f t="shared" si="24"/>
        <v>53.916666666666671</v>
      </c>
      <c r="AG14" s="40">
        <f t="shared" si="32"/>
        <v>5.0000000000004263E-2</v>
      </c>
      <c r="AH14" s="40">
        <f t="shared" si="32"/>
        <v>3.0000000000001137E-2</v>
      </c>
      <c r="AJ14" s="40">
        <f t="shared" si="25"/>
        <v>2.2200000000000002</v>
      </c>
      <c r="AK14" s="40">
        <f t="shared" si="25"/>
        <v>3.24</v>
      </c>
      <c r="AL14" s="40"/>
      <c r="AM14" s="180">
        <f t="shared" si="33"/>
        <v>14.733999999999998</v>
      </c>
      <c r="AN14" s="180">
        <f t="shared" si="33"/>
        <v>21.545999999999999</v>
      </c>
      <c r="AP14" s="76">
        <f t="shared" si="26"/>
        <v>9.9999999999999936E-2</v>
      </c>
      <c r="AQ14" s="76">
        <f t="shared" si="26"/>
        <v>9.9999999999999978E-2</v>
      </c>
      <c r="AS14" s="76">
        <f t="shared" si="27"/>
        <v>0.39864718614718608</v>
      </c>
      <c r="AT14" s="76">
        <f t="shared" si="27"/>
        <v>0.39944382647385984</v>
      </c>
      <c r="AV14" s="76">
        <f t="shared" si="28"/>
        <v>0.5</v>
      </c>
      <c r="AW14" s="76">
        <f t="shared" si="28"/>
        <v>0.5</v>
      </c>
      <c r="AX14" s="42"/>
      <c r="AY14" s="42">
        <f t="shared" si="29"/>
        <v>18.429999999999996</v>
      </c>
      <c r="AZ14" s="42">
        <f t="shared" si="29"/>
        <v>26.939999999999998</v>
      </c>
      <c r="BA14" s="42"/>
      <c r="BB14" s="76">
        <f t="shared" si="30"/>
        <v>0.49864718614718601</v>
      </c>
      <c r="BC14" s="76">
        <f t="shared" si="30"/>
        <v>0.49944382647385982</v>
      </c>
      <c r="BF14" s="40"/>
      <c r="BG14" s="40"/>
    </row>
    <row r="15" spans="1:62" x14ac:dyDescent="0.25">
      <c r="B15" s="25" t="s">
        <v>26</v>
      </c>
      <c r="C15" s="149">
        <f>ROUND('ST Standard from 24 Feb 26'!C15*SUM(1+1*'ST Standard from 4 Jun26'!$D$1),2)</f>
        <v>24.41</v>
      </c>
      <c r="D15" s="149">
        <f>ROUND('ST Standard from 24 Feb 26'!D15*SUM(1+1*'ST Standard from 4 Jun26'!$D$1),2)</f>
        <v>34.409999999999997</v>
      </c>
      <c r="E15" s="41"/>
      <c r="F15" s="41">
        <f t="shared" si="17"/>
        <v>29.291999999999998</v>
      </c>
      <c r="G15" s="41">
        <f t="shared" si="17"/>
        <v>41.291999999999994</v>
      </c>
      <c r="H15" s="82"/>
      <c r="I15" s="41">
        <f t="shared" si="18"/>
        <v>4.8819999999999979</v>
      </c>
      <c r="J15" s="41">
        <f t="shared" si="18"/>
        <v>6.8819999999999979</v>
      </c>
      <c r="K15" s="82"/>
      <c r="L15" s="41">
        <f t="shared" si="19"/>
        <v>32.219000000000001</v>
      </c>
      <c r="M15" s="41">
        <f t="shared" si="19"/>
        <v>45.419000000000004</v>
      </c>
      <c r="N15" s="82"/>
      <c r="O15" s="41">
        <f t="shared" si="20"/>
        <v>7.8090000000000011</v>
      </c>
      <c r="P15" s="41">
        <f t="shared" si="20"/>
        <v>11.009000000000007</v>
      </c>
      <c r="Q15" s="82"/>
      <c r="R15" s="76">
        <f t="shared" si="21"/>
        <v>0.10002731121125223</v>
      </c>
      <c r="S15" s="76">
        <f t="shared" si="21"/>
        <v>0.1000193742129226</v>
      </c>
      <c r="T15" s="82"/>
      <c r="U15" s="41">
        <f t="shared" si="22"/>
        <v>48.82</v>
      </c>
      <c r="V15" s="41">
        <f t="shared" si="22"/>
        <v>68.819999999999993</v>
      </c>
      <c r="W15" s="82"/>
      <c r="X15" s="41">
        <f t="shared" si="23"/>
        <v>58.58</v>
      </c>
      <c r="Y15" s="41">
        <f t="shared" si="23"/>
        <v>82.58</v>
      </c>
      <c r="AA15" s="182">
        <f t="shared" si="31"/>
        <v>58.5</v>
      </c>
      <c r="AB15" s="182">
        <f t="shared" si="31"/>
        <v>82.5</v>
      </c>
      <c r="AD15" s="40">
        <f t="shared" si="24"/>
        <v>48.75</v>
      </c>
      <c r="AE15" s="40">
        <f t="shared" si="24"/>
        <v>68.75</v>
      </c>
      <c r="AG15" s="40">
        <f t="shared" si="32"/>
        <v>7.9999999999998295E-2</v>
      </c>
      <c r="AH15" s="40">
        <f t="shared" si="32"/>
        <v>7.9999999999998295E-2</v>
      </c>
      <c r="AJ15" s="40">
        <f t="shared" si="25"/>
        <v>2.93</v>
      </c>
      <c r="AK15" s="40">
        <f t="shared" si="25"/>
        <v>4.13</v>
      </c>
      <c r="AL15" s="40"/>
      <c r="AM15" s="180">
        <f t="shared" si="33"/>
        <v>19.448000000000004</v>
      </c>
      <c r="AN15" s="180">
        <f t="shared" si="33"/>
        <v>27.448</v>
      </c>
      <c r="AP15" s="76">
        <f t="shared" si="26"/>
        <v>9.999999999999995E-2</v>
      </c>
      <c r="AQ15" s="76">
        <f t="shared" si="26"/>
        <v>9.9999999999999978E-2</v>
      </c>
      <c r="AS15" s="76">
        <f t="shared" si="27"/>
        <v>0.39836132732486695</v>
      </c>
      <c r="AT15" s="76">
        <f t="shared" si="27"/>
        <v>0.39883754722464404</v>
      </c>
      <c r="AV15" s="76">
        <f t="shared" si="28"/>
        <v>0.5</v>
      </c>
      <c r="AW15" s="76">
        <f t="shared" si="28"/>
        <v>0.5</v>
      </c>
      <c r="AX15" s="42"/>
      <c r="AY15" s="42">
        <f t="shared" si="29"/>
        <v>24.330000000000002</v>
      </c>
      <c r="AZ15" s="42">
        <f t="shared" si="29"/>
        <v>34.33</v>
      </c>
      <c r="BA15" s="42"/>
      <c r="BB15" s="76">
        <f t="shared" si="30"/>
        <v>0.49836132732486688</v>
      </c>
      <c r="BC15" s="76">
        <f t="shared" si="30"/>
        <v>0.49883754722464402</v>
      </c>
      <c r="BF15" s="40"/>
      <c r="BG15" s="40"/>
    </row>
    <row r="16" spans="1:62" x14ac:dyDescent="0.25">
      <c r="B16" s="25" t="s">
        <v>27</v>
      </c>
      <c r="C16" s="149">
        <f>ROUND('ST Standard from 24 Feb 26'!C16*SUM(1+1*'ST Standard from 4 Jun26'!$D$1),2)</f>
        <v>28.79</v>
      </c>
      <c r="D16" s="149">
        <f>ROUND('ST Standard from 24 Feb 26'!D16*SUM(1+1*'ST Standard from 4 Jun26'!$D$1),2)</f>
        <v>40.32</v>
      </c>
      <c r="E16" s="41"/>
      <c r="F16" s="41">
        <f t="shared" si="17"/>
        <v>34.547999999999995</v>
      </c>
      <c r="G16" s="41">
        <f t="shared" si="17"/>
        <v>48.384</v>
      </c>
      <c r="H16" s="82"/>
      <c r="I16" s="41">
        <f t="shared" si="18"/>
        <v>5.7579999999999956</v>
      </c>
      <c r="J16" s="41">
        <f t="shared" si="18"/>
        <v>8.0640000000000001</v>
      </c>
      <c r="K16" s="82"/>
      <c r="L16" s="41">
        <f t="shared" si="19"/>
        <v>38.005000000000003</v>
      </c>
      <c r="M16" s="41">
        <f t="shared" si="19"/>
        <v>53.218000000000011</v>
      </c>
      <c r="N16" s="82"/>
      <c r="O16" s="41">
        <f t="shared" si="20"/>
        <v>9.2150000000000034</v>
      </c>
      <c r="P16" s="41">
        <f t="shared" si="20"/>
        <v>12.89800000000001</v>
      </c>
      <c r="Q16" s="82"/>
      <c r="R16" s="76">
        <f t="shared" si="21"/>
        <v>0.10015051522519394</v>
      </c>
      <c r="S16" s="76">
        <f t="shared" si="21"/>
        <v>0.10003306878306878</v>
      </c>
      <c r="T16" s="82"/>
      <c r="U16" s="41">
        <f t="shared" si="22"/>
        <v>57.58</v>
      </c>
      <c r="V16" s="41">
        <f t="shared" si="22"/>
        <v>80.64</v>
      </c>
      <c r="W16" s="82"/>
      <c r="X16" s="41">
        <f t="shared" si="23"/>
        <v>69.099999999999994</v>
      </c>
      <c r="Y16" s="41">
        <f t="shared" si="23"/>
        <v>96.77</v>
      </c>
      <c r="AA16" s="182">
        <f t="shared" si="31"/>
        <v>69</v>
      </c>
      <c r="AB16" s="182">
        <f t="shared" si="31"/>
        <v>96.7</v>
      </c>
      <c r="AD16" s="40">
        <f t="shared" si="24"/>
        <v>57.5</v>
      </c>
      <c r="AE16" s="40">
        <f t="shared" si="24"/>
        <v>80.583333333333343</v>
      </c>
      <c r="AG16" s="40">
        <f t="shared" si="32"/>
        <v>9.9999999999994316E-2</v>
      </c>
      <c r="AH16" s="40">
        <f t="shared" si="32"/>
        <v>6.9999999999993179E-2</v>
      </c>
      <c r="AJ16" s="40">
        <f t="shared" si="25"/>
        <v>3.46</v>
      </c>
      <c r="AK16" s="40">
        <f t="shared" si="25"/>
        <v>4.84</v>
      </c>
      <c r="AL16" s="40"/>
      <c r="AM16" s="180">
        <f t="shared" si="33"/>
        <v>22.932000000000009</v>
      </c>
      <c r="AN16" s="180">
        <f t="shared" si="33"/>
        <v>32.186000000000007</v>
      </c>
      <c r="AP16" s="76">
        <f t="shared" si="26"/>
        <v>9.9999999999999922E-2</v>
      </c>
      <c r="AQ16" s="76">
        <f t="shared" si="26"/>
        <v>0.1</v>
      </c>
      <c r="AS16" s="76">
        <f t="shared" si="27"/>
        <v>0.39826328586314708</v>
      </c>
      <c r="AT16" s="76">
        <f t="shared" si="27"/>
        <v>0.39913194444444455</v>
      </c>
      <c r="AV16" s="76">
        <f t="shared" si="28"/>
        <v>0.5</v>
      </c>
      <c r="AW16" s="76">
        <f t="shared" si="28"/>
        <v>0.5</v>
      </c>
      <c r="AX16" s="42"/>
      <c r="AY16" s="42">
        <f t="shared" si="29"/>
        <v>28.690000000000005</v>
      </c>
      <c r="AZ16" s="42">
        <f t="shared" si="29"/>
        <v>40.250000000000007</v>
      </c>
      <c r="BA16" s="42"/>
      <c r="BB16" s="76">
        <f t="shared" si="30"/>
        <v>0.498263285863147</v>
      </c>
      <c r="BC16" s="76">
        <f t="shared" si="30"/>
        <v>0.49913194444444453</v>
      </c>
      <c r="BF16" s="40"/>
      <c r="BG16" s="40"/>
    </row>
    <row r="17" spans="2:59" x14ac:dyDescent="0.25">
      <c r="B17" s="25" t="s">
        <v>29</v>
      </c>
      <c r="C17" s="149">
        <f>ROUND('ST Standard from 24 Feb 26'!C17*SUM(1+1*'ST Standard from 4 Jun26'!$D$1),2)</f>
        <v>3.84</v>
      </c>
      <c r="D17" s="149">
        <f>ROUND('ST Standard from 24 Feb 26'!D17*SUM(1+1*'ST Standard from 4 Jun26'!$D$1),2)</f>
        <v>5.21</v>
      </c>
      <c r="E17" s="41"/>
      <c r="F17" s="41">
        <f t="shared" si="17"/>
        <v>4.6079999999999997</v>
      </c>
      <c r="G17" s="41">
        <f t="shared" si="17"/>
        <v>6.2519999999999998</v>
      </c>
      <c r="H17" s="82"/>
      <c r="I17" s="41">
        <f t="shared" si="18"/>
        <v>0.76799999999999979</v>
      </c>
      <c r="J17" s="41">
        <f t="shared" si="18"/>
        <v>1.0419999999999998</v>
      </c>
      <c r="K17" s="82"/>
      <c r="L17" s="41">
        <f>ROUND(C17*(1+$G$1*2),2)*SUM(1+$M$1)</f>
        <v>5.0710000000000006</v>
      </c>
      <c r="M17" s="41">
        <f t="shared" si="19"/>
        <v>6.8750000000000009</v>
      </c>
      <c r="N17" s="82"/>
      <c r="O17" s="41">
        <f t="shared" si="20"/>
        <v>1.2310000000000008</v>
      </c>
      <c r="P17" s="41">
        <f t="shared" si="20"/>
        <v>1.6650000000000009</v>
      </c>
      <c r="Q17" s="82"/>
      <c r="R17" s="76">
        <f>AJ17/F17</f>
        <v>9.9826388888888895E-2</v>
      </c>
      <c r="S17" s="76">
        <f t="shared" si="21"/>
        <v>0.10076775431861805</v>
      </c>
      <c r="T17" s="82"/>
      <c r="U17" s="41">
        <f t="shared" si="22"/>
        <v>7.68</v>
      </c>
      <c r="V17" s="41">
        <f t="shared" si="22"/>
        <v>10.42</v>
      </c>
      <c r="W17" s="82"/>
      <c r="X17" s="41">
        <f t="shared" si="23"/>
        <v>9.2200000000000006</v>
      </c>
      <c r="Y17" s="41">
        <f t="shared" si="23"/>
        <v>12.5</v>
      </c>
      <c r="AA17" s="182">
        <f>ROUNDDOWN(C17/(1-$X$1)*1.2,1)</f>
        <v>9.1999999999999993</v>
      </c>
      <c r="AB17" s="182">
        <f>ROUNDDOWN(D17/(1-$X$1)*1.2,1)</f>
        <v>12.5</v>
      </c>
      <c r="AD17" s="40">
        <f t="shared" si="24"/>
        <v>7.6666666666666661</v>
      </c>
      <c r="AE17" s="40">
        <f t="shared" si="24"/>
        <v>10.416666666666668</v>
      </c>
      <c r="AG17" s="40">
        <f t="shared" si="32"/>
        <v>2.000000000000135E-2</v>
      </c>
      <c r="AH17" s="40">
        <f t="shared" si="32"/>
        <v>0</v>
      </c>
      <c r="AJ17" s="40">
        <f>ROUND(L17*(1-(1/(1+$AL$1))),2)</f>
        <v>0.46</v>
      </c>
      <c r="AK17" s="40">
        <f t="shared" si="25"/>
        <v>0.63</v>
      </c>
      <c r="AL17" s="40"/>
      <c r="AM17" s="180">
        <f t="shared" si="33"/>
        <v>3.0519999999999987</v>
      </c>
      <c r="AN17" s="180">
        <f t="shared" si="33"/>
        <v>4.1680000000000001</v>
      </c>
      <c r="AP17" s="76">
        <f t="shared" si="26"/>
        <v>9.9999999999999978E-2</v>
      </c>
      <c r="AQ17" s="76">
        <f t="shared" si="26"/>
        <v>9.9999999999999978E-2</v>
      </c>
      <c r="AS17" s="76">
        <f t="shared" si="27"/>
        <v>0.39739583333333317</v>
      </c>
      <c r="AT17" s="76">
        <f t="shared" si="27"/>
        <v>0.4</v>
      </c>
      <c r="AV17" s="76">
        <f t="shared" si="28"/>
        <v>0.5</v>
      </c>
      <c r="AW17" s="76">
        <f t="shared" si="28"/>
        <v>0.5</v>
      </c>
      <c r="AX17" s="42"/>
      <c r="AY17" s="42">
        <f t="shared" si="29"/>
        <v>3.8199999999999985</v>
      </c>
      <c r="AZ17" s="42">
        <f t="shared" si="29"/>
        <v>5.21</v>
      </c>
      <c r="BA17" s="42"/>
      <c r="BB17" s="76">
        <f t="shared" si="30"/>
        <v>0.49739583333333315</v>
      </c>
      <c r="BC17" s="76">
        <f t="shared" si="30"/>
        <v>0.5</v>
      </c>
      <c r="BF17" s="40"/>
      <c r="BG17" s="40"/>
    </row>
    <row r="18" spans="2:59" x14ac:dyDescent="0.25">
      <c r="B18" s="25"/>
      <c r="C18" s="41"/>
      <c r="D18" s="41"/>
      <c r="E18" s="41"/>
      <c r="F18" s="41"/>
      <c r="G18" s="41"/>
      <c r="H18" s="82"/>
      <c r="I18" s="82"/>
      <c r="J18" s="82"/>
      <c r="K18" s="82"/>
      <c r="L18" s="41"/>
      <c r="M18" s="41"/>
      <c r="N18" s="4"/>
      <c r="O18" s="4"/>
      <c r="P18" s="4"/>
      <c r="Q18" s="4"/>
      <c r="R18" s="78"/>
      <c r="T18" s="4"/>
      <c r="U18" s="4"/>
      <c r="V18" s="4"/>
      <c r="W18" s="4"/>
      <c r="AJ18" s="40"/>
      <c r="AK18" s="40"/>
      <c r="AL18" s="40"/>
      <c r="AS18" s="103"/>
      <c r="AT18" s="103"/>
      <c r="AV18" s="40"/>
      <c r="AW18" s="40"/>
      <c r="BB18" s="77"/>
      <c r="BC18" s="77"/>
    </row>
    <row r="19" spans="2:59" x14ac:dyDescent="0.25">
      <c r="B19" s="32" t="s">
        <v>30</v>
      </c>
      <c r="C19" s="41"/>
      <c r="D19" s="41"/>
      <c r="E19" s="41"/>
      <c r="F19" s="41"/>
      <c r="G19" s="41"/>
      <c r="H19" s="82"/>
      <c r="I19" s="82"/>
      <c r="J19" s="82"/>
      <c r="K19" s="82"/>
      <c r="L19" s="41"/>
      <c r="M19" s="41"/>
      <c r="N19" s="4"/>
      <c r="O19" s="4"/>
      <c r="P19" s="4"/>
      <c r="Q19" s="4"/>
      <c r="R19" s="78"/>
      <c r="T19" s="4"/>
      <c r="U19" s="4"/>
      <c r="V19" s="4"/>
      <c r="W19" s="4"/>
      <c r="AJ19" s="40"/>
      <c r="AK19" s="40"/>
      <c r="AL19" s="40"/>
      <c r="AS19" s="103"/>
      <c r="AT19" s="103"/>
      <c r="AV19" s="40"/>
      <c r="AW19" s="40"/>
      <c r="BB19" s="77"/>
      <c r="BC19" s="77"/>
    </row>
    <row r="20" spans="2:59" x14ac:dyDescent="0.25">
      <c r="B20" s="25" t="s">
        <v>31</v>
      </c>
      <c r="C20" s="149">
        <f>ROUND('ST Standard from 24 Feb 26'!C20*SUM(1+1*'ST Standard from 4 Jun26'!$D$1),2)</f>
        <v>25.68</v>
      </c>
      <c r="D20" s="149">
        <f>ROUND('ST Standard from 24 Feb 26'!D20*SUM(1+1*'ST Standard from 4 Jun26'!$D$1),2)</f>
        <v>31.85</v>
      </c>
      <c r="E20" s="41"/>
      <c r="F20" s="41">
        <f t="shared" ref="F20:G25" si="34">C20*SUM(1+$G$1/$X$1)</f>
        <v>30.815999999999999</v>
      </c>
      <c r="G20" s="41">
        <f t="shared" si="34"/>
        <v>38.22</v>
      </c>
      <c r="H20" s="82"/>
      <c r="I20" s="41">
        <f t="shared" ref="I20:J25" si="35">F20-C20</f>
        <v>5.1359999999999992</v>
      </c>
      <c r="J20" s="41">
        <f t="shared" si="35"/>
        <v>6.3699999999999974</v>
      </c>
      <c r="K20" s="82"/>
      <c r="L20" s="41">
        <f t="shared" ref="L20:M25" si="36">ROUND(C20*(1+$G$1*2),2)*SUM(1+$M$1)</f>
        <v>33.902000000000001</v>
      </c>
      <c r="M20" s="41">
        <f t="shared" si="36"/>
        <v>42.042000000000002</v>
      </c>
      <c r="N20" s="82"/>
      <c r="O20" s="41">
        <f t="shared" ref="O20:P25" si="37">L20-C20</f>
        <v>8.2220000000000013</v>
      </c>
      <c r="P20" s="41">
        <f t="shared" si="37"/>
        <v>10.192</v>
      </c>
      <c r="Q20" s="82"/>
      <c r="R20" s="76">
        <f t="shared" ref="R20:S25" si="38">AJ20/F20</f>
        <v>9.9948078920041539E-2</v>
      </c>
      <c r="S20" s="76">
        <f t="shared" si="38"/>
        <v>9.9947671376242803E-2</v>
      </c>
      <c r="T20" s="82"/>
      <c r="U20" s="41">
        <f t="shared" ref="U20:V25" si="39">SUM(C20/(1-$X$1))</f>
        <v>51.36</v>
      </c>
      <c r="V20" s="41">
        <f t="shared" si="39"/>
        <v>63.7</v>
      </c>
      <c r="W20" s="82"/>
      <c r="X20" s="41">
        <f t="shared" ref="X20:Y25" si="40">ROUND(C20/(1-$X$1)*1.2,2)</f>
        <v>61.63</v>
      </c>
      <c r="Y20" s="41">
        <f t="shared" si="40"/>
        <v>76.44</v>
      </c>
      <c r="AA20" s="182">
        <f>ROUNDDOWN(C20/(1-$X$1)*1.2,1)</f>
        <v>61.6</v>
      </c>
      <c r="AB20" s="182">
        <f>ROUNDDOWN(D20/(1-$X$1)*1.2,1)</f>
        <v>76.400000000000006</v>
      </c>
      <c r="AD20" s="40">
        <f t="shared" ref="AD20:AE25" si="41">AA20/1.2</f>
        <v>51.333333333333336</v>
      </c>
      <c r="AE20" s="40">
        <f t="shared" si="41"/>
        <v>63.666666666666671</v>
      </c>
      <c r="AG20" s="40">
        <f>X20-AA20</f>
        <v>3.0000000000001137E-2</v>
      </c>
      <c r="AH20" s="40">
        <f>Y20-AB20</f>
        <v>3.9999999999992042E-2</v>
      </c>
      <c r="AJ20" s="40">
        <f t="shared" ref="AJ20:AK25" si="42">ROUND(L20*(1-(1/(1+$AL$1))),2)</f>
        <v>3.08</v>
      </c>
      <c r="AK20" s="40">
        <f t="shared" si="42"/>
        <v>3.82</v>
      </c>
      <c r="AL20" s="40"/>
      <c r="AM20" s="180">
        <f>SUM(U20-F20)-AG20</f>
        <v>20.513999999999999</v>
      </c>
      <c r="AN20" s="180">
        <f>SUM(V20-G20)-AH20</f>
        <v>25.440000000000012</v>
      </c>
      <c r="AP20" s="76">
        <f t="shared" ref="AP20:AQ25" si="43">(SUM(F20-C20)/C20)*$X$1</f>
        <v>9.9999999999999992E-2</v>
      </c>
      <c r="AQ20" s="76">
        <f t="shared" si="43"/>
        <v>9.999999999999995E-2</v>
      </c>
      <c r="AS20" s="76">
        <f t="shared" ref="AS20:AT25" si="44">AM20/U20</f>
        <v>0.39941588785046728</v>
      </c>
      <c r="AT20" s="76">
        <f t="shared" si="44"/>
        <v>0.39937205651491381</v>
      </c>
      <c r="AV20" s="76">
        <f t="shared" ref="AV20:AW25" si="45">C20/U20</f>
        <v>0.5</v>
      </c>
      <c r="AW20" s="76">
        <f t="shared" si="45"/>
        <v>0.5</v>
      </c>
      <c r="AX20" s="42"/>
      <c r="AY20" s="42">
        <f t="shared" ref="AY20:AZ25" si="46">I20+AM20</f>
        <v>25.65</v>
      </c>
      <c r="AZ20" s="42">
        <f t="shared" si="46"/>
        <v>31.810000000000009</v>
      </c>
      <c r="BA20" s="42"/>
      <c r="BB20" s="76">
        <f t="shared" ref="BB20:BC25" si="47">AY20/(C20/$X$1)</f>
        <v>0.49941588785046725</v>
      </c>
      <c r="BC20" s="76">
        <f t="shared" si="47"/>
        <v>0.49937205651491379</v>
      </c>
      <c r="BF20" s="40"/>
      <c r="BG20" s="40"/>
    </row>
    <row r="21" spans="2:59" x14ac:dyDescent="0.25">
      <c r="B21" s="25" t="s">
        <v>24</v>
      </c>
      <c r="C21" s="149">
        <f>ROUND('ST Standard from 24 Feb 26'!C21*SUM(1+1*'ST Standard from 4 Jun26'!$D$1),2)</f>
        <v>30.93</v>
      </c>
      <c r="D21" s="149">
        <f>ROUND('ST Standard from 24 Feb 26'!D21*SUM(1+1*'ST Standard from 4 Jun26'!$D$1),2)</f>
        <v>35.49</v>
      </c>
      <c r="E21" s="41"/>
      <c r="F21" s="41">
        <f t="shared" si="34"/>
        <v>37.116</v>
      </c>
      <c r="G21" s="41">
        <f t="shared" si="34"/>
        <v>42.588000000000001</v>
      </c>
      <c r="H21" s="82"/>
      <c r="I21" s="41">
        <f t="shared" si="35"/>
        <v>6.1859999999999999</v>
      </c>
      <c r="J21" s="41">
        <f t="shared" si="35"/>
        <v>7.097999999999999</v>
      </c>
      <c r="K21" s="82"/>
      <c r="L21" s="41">
        <f t="shared" si="36"/>
        <v>40.832000000000001</v>
      </c>
      <c r="M21" s="41">
        <f t="shared" si="36"/>
        <v>46.849000000000011</v>
      </c>
      <c r="N21" s="82"/>
      <c r="O21" s="41">
        <f t="shared" si="37"/>
        <v>9.902000000000001</v>
      </c>
      <c r="P21" s="41">
        <f t="shared" si="37"/>
        <v>11.359000000000009</v>
      </c>
      <c r="Q21" s="82"/>
      <c r="R21" s="76">
        <f t="shared" si="38"/>
        <v>9.9956891906455431E-2</v>
      </c>
      <c r="S21" s="76">
        <f t="shared" si="38"/>
        <v>0.10002817695125386</v>
      </c>
      <c r="T21" s="82"/>
      <c r="U21" s="41">
        <f t="shared" si="39"/>
        <v>61.86</v>
      </c>
      <c r="V21" s="41">
        <f t="shared" si="39"/>
        <v>70.98</v>
      </c>
      <c r="W21" s="82"/>
      <c r="X21" s="41">
        <f t="shared" si="40"/>
        <v>74.23</v>
      </c>
      <c r="Y21" s="41">
        <f t="shared" si="40"/>
        <v>85.18</v>
      </c>
      <c r="AA21" s="182">
        <f t="shared" ref="AA21:AB24" si="48">ROUNDDOWN(C21/(1-$X$1)*1.2,1)</f>
        <v>74.2</v>
      </c>
      <c r="AB21" s="182">
        <f t="shared" si="48"/>
        <v>85.1</v>
      </c>
      <c r="AD21" s="40">
        <f t="shared" si="41"/>
        <v>61.833333333333336</v>
      </c>
      <c r="AE21" s="40">
        <f t="shared" si="41"/>
        <v>70.916666666666671</v>
      </c>
      <c r="AG21" s="40">
        <f t="shared" ref="AG21:AH25" si="49">X21-AA21</f>
        <v>3.0000000000001137E-2</v>
      </c>
      <c r="AH21" s="40">
        <f t="shared" si="49"/>
        <v>8.0000000000012506E-2</v>
      </c>
      <c r="AJ21" s="40">
        <f t="shared" si="42"/>
        <v>3.71</v>
      </c>
      <c r="AK21" s="40">
        <f t="shared" si="42"/>
        <v>4.26</v>
      </c>
      <c r="AL21" s="40"/>
      <c r="AM21" s="180">
        <f t="shared" ref="AM21:AN25" si="50">SUM(U21-F21)-AG21</f>
        <v>24.713999999999999</v>
      </c>
      <c r="AN21" s="180">
        <f t="shared" si="50"/>
        <v>28.311999999999991</v>
      </c>
      <c r="AP21" s="76">
        <f t="shared" si="43"/>
        <v>0.1</v>
      </c>
      <c r="AQ21" s="76">
        <f t="shared" si="43"/>
        <v>9.9999999999999978E-2</v>
      </c>
      <c r="AS21" s="76">
        <f t="shared" si="44"/>
        <v>0.39951503394762367</v>
      </c>
      <c r="AT21" s="76">
        <f t="shared" si="44"/>
        <v>0.39887292194984486</v>
      </c>
      <c r="AV21" s="76">
        <f t="shared" si="45"/>
        <v>0.5</v>
      </c>
      <c r="AW21" s="76">
        <f t="shared" si="45"/>
        <v>0.5</v>
      </c>
      <c r="AX21" s="42"/>
      <c r="AY21" s="42">
        <f t="shared" si="46"/>
        <v>30.9</v>
      </c>
      <c r="AZ21" s="42">
        <f t="shared" si="46"/>
        <v>35.409999999999989</v>
      </c>
      <c r="BA21" s="42"/>
      <c r="BB21" s="76">
        <f t="shared" si="47"/>
        <v>0.49951503394762364</v>
      </c>
      <c r="BC21" s="76">
        <f t="shared" si="47"/>
        <v>0.49887292194984484</v>
      </c>
      <c r="BF21" s="40"/>
      <c r="BG21" s="40"/>
    </row>
    <row r="22" spans="2:59" x14ac:dyDescent="0.25">
      <c r="B22" s="25" t="s">
        <v>25</v>
      </c>
      <c r="C22" s="149">
        <f>ROUND('ST Standard from 24 Feb 26'!C22*SUM(1+1*'ST Standard from 4 Jun26'!$D$1),2)</f>
        <v>37.75</v>
      </c>
      <c r="D22" s="149">
        <f>ROUND('ST Standard from 24 Feb 26'!D22*SUM(1+1*'ST Standard from 4 Jun26'!$D$1),2)</f>
        <v>43.64</v>
      </c>
      <c r="E22" s="41"/>
      <c r="F22" s="41">
        <f t="shared" si="34"/>
        <v>45.3</v>
      </c>
      <c r="G22" s="41">
        <f t="shared" si="34"/>
        <v>52.368000000000002</v>
      </c>
      <c r="H22" s="82"/>
      <c r="I22" s="41">
        <f t="shared" si="35"/>
        <v>7.5499999999999972</v>
      </c>
      <c r="J22" s="41">
        <f t="shared" si="35"/>
        <v>8.7280000000000015</v>
      </c>
      <c r="K22" s="82"/>
      <c r="L22" s="41">
        <f t="shared" si="36"/>
        <v>49.83</v>
      </c>
      <c r="M22" s="41">
        <f t="shared" si="36"/>
        <v>57.606999999999999</v>
      </c>
      <c r="N22" s="82"/>
      <c r="O22" s="41">
        <f t="shared" si="37"/>
        <v>12.079999999999998</v>
      </c>
      <c r="P22" s="41">
        <f t="shared" si="37"/>
        <v>13.966999999999999</v>
      </c>
      <c r="Q22" s="82"/>
      <c r="R22" s="76">
        <f t="shared" si="38"/>
        <v>0.1</v>
      </c>
      <c r="S22" s="76">
        <f t="shared" si="38"/>
        <v>0.10006110601894287</v>
      </c>
      <c r="T22" s="82"/>
      <c r="U22" s="41">
        <f t="shared" si="39"/>
        <v>75.5</v>
      </c>
      <c r="V22" s="41">
        <f t="shared" si="39"/>
        <v>87.28</v>
      </c>
      <c r="W22" s="82"/>
      <c r="X22" s="41">
        <f t="shared" si="40"/>
        <v>90.6</v>
      </c>
      <c r="Y22" s="41">
        <f t="shared" si="40"/>
        <v>104.74</v>
      </c>
      <c r="AA22" s="182">
        <f t="shared" si="48"/>
        <v>90.6</v>
      </c>
      <c r="AB22" s="182">
        <f t="shared" si="48"/>
        <v>104.7</v>
      </c>
      <c r="AD22" s="40">
        <f t="shared" si="41"/>
        <v>75.5</v>
      </c>
      <c r="AE22" s="40">
        <f t="shared" si="41"/>
        <v>87.25</v>
      </c>
      <c r="AG22" s="40">
        <f t="shared" si="49"/>
        <v>0</v>
      </c>
      <c r="AH22" s="40">
        <f t="shared" si="49"/>
        <v>3.9999999999992042E-2</v>
      </c>
      <c r="AJ22" s="40">
        <f t="shared" si="42"/>
        <v>4.53</v>
      </c>
      <c r="AK22" s="40">
        <f t="shared" si="42"/>
        <v>5.24</v>
      </c>
      <c r="AL22" s="40"/>
      <c r="AM22" s="180">
        <f t="shared" si="50"/>
        <v>30.200000000000003</v>
      </c>
      <c r="AN22" s="180">
        <f t="shared" si="50"/>
        <v>34.872000000000007</v>
      </c>
      <c r="AP22" s="76">
        <f t="shared" si="43"/>
        <v>9.9999999999999964E-2</v>
      </c>
      <c r="AQ22" s="76">
        <f t="shared" si="43"/>
        <v>0.10000000000000002</v>
      </c>
      <c r="AS22" s="76">
        <f t="shared" si="44"/>
        <v>0.4</v>
      </c>
      <c r="AT22" s="76">
        <f t="shared" si="44"/>
        <v>0.39954170485792856</v>
      </c>
      <c r="AV22" s="76">
        <f t="shared" si="45"/>
        <v>0.5</v>
      </c>
      <c r="AW22" s="76">
        <f t="shared" si="45"/>
        <v>0.5</v>
      </c>
      <c r="AX22" s="42"/>
      <c r="AY22" s="42">
        <f t="shared" si="46"/>
        <v>37.75</v>
      </c>
      <c r="AZ22" s="42">
        <f t="shared" si="46"/>
        <v>43.600000000000009</v>
      </c>
      <c r="BA22" s="42"/>
      <c r="BB22" s="76">
        <f t="shared" si="47"/>
        <v>0.5</v>
      </c>
      <c r="BC22" s="76">
        <f t="shared" si="47"/>
        <v>0.49954170485792859</v>
      </c>
      <c r="BF22" s="40"/>
      <c r="BG22" s="40"/>
    </row>
    <row r="23" spans="2:59" x14ac:dyDescent="0.25">
      <c r="B23" s="25" t="s">
        <v>26</v>
      </c>
      <c r="C23" s="149">
        <f>ROUND('ST Standard from 24 Feb 26'!C23*SUM(1+1*'ST Standard from 4 Jun26'!$D$1),2)</f>
        <v>46.62</v>
      </c>
      <c r="D23" s="149">
        <f>ROUND('ST Standard from 24 Feb 26'!D23*SUM(1+1*'ST Standard from 4 Jun26'!$D$1),2)</f>
        <v>53.83</v>
      </c>
      <c r="E23" s="41"/>
      <c r="F23" s="41">
        <f t="shared" si="34"/>
        <v>55.943999999999996</v>
      </c>
      <c r="G23" s="41">
        <f t="shared" si="34"/>
        <v>64.595999999999989</v>
      </c>
      <c r="H23" s="82"/>
      <c r="I23" s="41">
        <f t="shared" si="35"/>
        <v>9.3239999999999981</v>
      </c>
      <c r="J23" s="41">
        <f t="shared" si="35"/>
        <v>10.765999999999991</v>
      </c>
      <c r="K23" s="82"/>
      <c r="L23" s="41">
        <f t="shared" si="36"/>
        <v>61.533999999999999</v>
      </c>
      <c r="M23" s="41">
        <f t="shared" si="36"/>
        <v>71.06</v>
      </c>
      <c r="N23" s="82"/>
      <c r="O23" s="41">
        <f t="shared" si="37"/>
        <v>14.914000000000001</v>
      </c>
      <c r="P23" s="41">
        <f t="shared" si="37"/>
        <v>17.230000000000004</v>
      </c>
      <c r="Q23" s="82"/>
      <c r="R23" s="76">
        <f t="shared" si="38"/>
        <v>9.9921349921349933E-2</v>
      </c>
      <c r="S23" s="76">
        <f t="shared" si="38"/>
        <v>0.10000619233389066</v>
      </c>
      <c r="T23" s="82"/>
      <c r="U23" s="41">
        <f t="shared" si="39"/>
        <v>93.24</v>
      </c>
      <c r="V23" s="41">
        <f t="shared" si="39"/>
        <v>107.66</v>
      </c>
      <c r="W23" s="82"/>
      <c r="X23" s="41">
        <f t="shared" si="40"/>
        <v>111.89</v>
      </c>
      <c r="Y23" s="41">
        <f t="shared" si="40"/>
        <v>129.19</v>
      </c>
      <c r="AA23" s="182">
        <f t="shared" si="48"/>
        <v>111.8</v>
      </c>
      <c r="AB23" s="182">
        <f t="shared" si="48"/>
        <v>129.1</v>
      </c>
      <c r="AD23" s="40">
        <f t="shared" si="41"/>
        <v>93.166666666666671</v>
      </c>
      <c r="AE23" s="40">
        <f t="shared" si="41"/>
        <v>107.58333333333333</v>
      </c>
      <c r="AG23" s="40">
        <f t="shared" si="49"/>
        <v>9.0000000000003411E-2</v>
      </c>
      <c r="AH23" s="40">
        <f t="shared" si="49"/>
        <v>9.0000000000003411E-2</v>
      </c>
      <c r="AJ23" s="40">
        <f t="shared" si="42"/>
        <v>5.59</v>
      </c>
      <c r="AK23" s="40">
        <f t="shared" si="42"/>
        <v>6.46</v>
      </c>
      <c r="AL23" s="40"/>
      <c r="AM23" s="180">
        <f t="shared" si="50"/>
        <v>37.205999999999996</v>
      </c>
      <c r="AN23" s="180">
        <f t="shared" si="50"/>
        <v>42.974000000000004</v>
      </c>
      <c r="AP23" s="76">
        <f t="shared" si="43"/>
        <v>9.9999999999999992E-2</v>
      </c>
      <c r="AQ23" s="76">
        <f t="shared" si="43"/>
        <v>9.9999999999999922E-2</v>
      </c>
      <c r="AS23" s="76">
        <f t="shared" si="44"/>
        <v>0.399034749034749</v>
      </c>
      <c r="AT23" s="76">
        <f t="shared" si="44"/>
        <v>0.39916403492476321</v>
      </c>
      <c r="AV23" s="76">
        <f t="shared" si="45"/>
        <v>0.5</v>
      </c>
      <c r="AW23" s="76">
        <f t="shared" si="45"/>
        <v>0.5</v>
      </c>
      <c r="AX23" s="42"/>
      <c r="AY23" s="42">
        <f t="shared" si="46"/>
        <v>46.529999999999994</v>
      </c>
      <c r="AZ23" s="42">
        <f t="shared" si="46"/>
        <v>53.739999999999995</v>
      </c>
      <c r="BA23" s="42"/>
      <c r="BB23" s="76">
        <f t="shared" si="47"/>
        <v>0.49903474903474898</v>
      </c>
      <c r="BC23" s="76">
        <f t="shared" si="47"/>
        <v>0.49916403492476313</v>
      </c>
      <c r="BF23" s="40"/>
      <c r="BG23" s="40"/>
    </row>
    <row r="24" spans="2:59" x14ac:dyDescent="0.25">
      <c r="B24" s="25" t="s">
        <v>27</v>
      </c>
      <c r="C24" s="149">
        <f>ROUND('ST Standard from 24 Feb 26'!C24*SUM(1+1*'ST Standard from 4 Jun26'!$D$1),2)</f>
        <v>52.4</v>
      </c>
      <c r="D24" s="149">
        <f>ROUND('ST Standard from 24 Feb 26'!D24*SUM(1+1*'ST Standard from 4 Jun26'!$D$1),2)</f>
        <v>59.42</v>
      </c>
      <c r="E24" s="41"/>
      <c r="F24" s="41">
        <f t="shared" si="34"/>
        <v>62.879999999999995</v>
      </c>
      <c r="G24" s="41">
        <f t="shared" si="34"/>
        <v>71.304000000000002</v>
      </c>
      <c r="H24" s="82"/>
      <c r="I24" s="41">
        <f t="shared" si="35"/>
        <v>10.479999999999997</v>
      </c>
      <c r="J24" s="41">
        <f t="shared" si="35"/>
        <v>11.884</v>
      </c>
      <c r="K24" s="82"/>
      <c r="L24" s="41">
        <f t="shared" si="36"/>
        <v>69.168000000000006</v>
      </c>
      <c r="M24" s="41">
        <f t="shared" si="36"/>
        <v>78.430000000000007</v>
      </c>
      <c r="N24" s="82"/>
      <c r="O24" s="41">
        <f t="shared" si="37"/>
        <v>16.768000000000008</v>
      </c>
      <c r="P24" s="41">
        <f t="shared" si="37"/>
        <v>19.010000000000005</v>
      </c>
      <c r="Q24" s="82"/>
      <c r="R24" s="76">
        <f t="shared" si="38"/>
        <v>0.10003180661577608</v>
      </c>
      <c r="S24" s="76">
        <f t="shared" si="38"/>
        <v>9.9994390216537637E-2</v>
      </c>
      <c r="T24" s="82"/>
      <c r="U24" s="41">
        <f t="shared" si="39"/>
        <v>104.8</v>
      </c>
      <c r="V24" s="41">
        <f t="shared" si="39"/>
        <v>118.84</v>
      </c>
      <c r="W24" s="82"/>
      <c r="X24" s="41">
        <f t="shared" si="40"/>
        <v>125.76</v>
      </c>
      <c r="Y24" s="41">
        <f t="shared" si="40"/>
        <v>142.61000000000001</v>
      </c>
      <c r="AA24" s="182">
        <f t="shared" si="48"/>
        <v>125.7</v>
      </c>
      <c r="AB24" s="182">
        <f t="shared" si="48"/>
        <v>142.6</v>
      </c>
      <c r="AD24" s="40">
        <f t="shared" si="41"/>
        <v>104.75</v>
      </c>
      <c r="AE24" s="40">
        <f t="shared" si="41"/>
        <v>118.83333333333333</v>
      </c>
      <c r="AG24" s="40">
        <f t="shared" si="49"/>
        <v>6.0000000000002274E-2</v>
      </c>
      <c r="AH24" s="40">
        <f t="shared" si="49"/>
        <v>1.0000000000019327E-2</v>
      </c>
      <c r="AJ24" s="40">
        <f t="shared" si="42"/>
        <v>6.29</v>
      </c>
      <c r="AK24" s="40">
        <f t="shared" si="42"/>
        <v>7.13</v>
      </c>
      <c r="AL24" s="40"/>
      <c r="AM24" s="180">
        <f t="shared" si="50"/>
        <v>41.86</v>
      </c>
      <c r="AN24" s="180">
        <f t="shared" si="50"/>
        <v>47.525999999999982</v>
      </c>
      <c r="AP24" s="76">
        <f t="shared" si="43"/>
        <v>9.9999999999999978E-2</v>
      </c>
      <c r="AQ24" s="76">
        <f t="shared" si="43"/>
        <v>0.1</v>
      </c>
      <c r="AS24" s="76">
        <f t="shared" si="44"/>
        <v>0.39942748091603053</v>
      </c>
      <c r="AT24" s="76">
        <f t="shared" si="44"/>
        <v>0.39991585324806445</v>
      </c>
      <c r="AV24" s="76">
        <f t="shared" si="45"/>
        <v>0.5</v>
      </c>
      <c r="AW24" s="76">
        <f t="shared" si="45"/>
        <v>0.5</v>
      </c>
      <c r="AX24" s="42"/>
      <c r="AY24" s="42">
        <f t="shared" si="46"/>
        <v>52.339999999999996</v>
      </c>
      <c r="AZ24" s="42">
        <f t="shared" si="46"/>
        <v>59.409999999999982</v>
      </c>
      <c r="BA24" s="42"/>
      <c r="BB24" s="76">
        <f t="shared" si="47"/>
        <v>0.49942748091603051</v>
      </c>
      <c r="BC24" s="76">
        <f t="shared" si="47"/>
        <v>0.49991585324806448</v>
      </c>
      <c r="BF24" s="40"/>
      <c r="BG24" s="40"/>
    </row>
    <row r="25" spans="2:59" x14ac:dyDescent="0.25">
      <c r="B25" s="25" t="s">
        <v>29</v>
      </c>
      <c r="C25" s="149">
        <f>ROUND('ST Standard from 24 Feb 26'!C25*SUM(1+1*'ST Standard from 4 Jun26'!$D$1),2)</f>
        <v>7.41</v>
      </c>
      <c r="D25" s="149">
        <f>ROUND('ST Standard from 24 Feb 26'!D25*SUM(1+1*'ST Standard from 4 Jun26'!$D$1),2)</f>
        <v>8.1</v>
      </c>
      <c r="E25" s="41"/>
      <c r="F25" s="41">
        <f t="shared" si="34"/>
        <v>8.8919999999999995</v>
      </c>
      <c r="G25" s="41">
        <f t="shared" si="34"/>
        <v>9.7199999999999989</v>
      </c>
      <c r="H25" s="82"/>
      <c r="I25" s="41">
        <f t="shared" si="35"/>
        <v>1.4819999999999993</v>
      </c>
      <c r="J25" s="41">
        <f t="shared" si="35"/>
        <v>1.6199999999999992</v>
      </c>
      <c r="K25" s="82"/>
      <c r="L25" s="41">
        <f t="shared" si="36"/>
        <v>9.7790000000000017</v>
      </c>
      <c r="M25" s="41">
        <f t="shared" si="36"/>
        <v>10.692000000000002</v>
      </c>
      <c r="N25" s="82"/>
      <c r="O25" s="41">
        <f t="shared" si="37"/>
        <v>2.3690000000000015</v>
      </c>
      <c r="P25" s="41">
        <f t="shared" si="37"/>
        <v>2.5920000000000023</v>
      </c>
      <c r="Q25" s="82"/>
      <c r="R25" s="76">
        <f t="shared" si="38"/>
        <v>0.10008996851102114</v>
      </c>
      <c r="S25" s="76">
        <f t="shared" si="38"/>
        <v>9.9794238683127576E-2</v>
      </c>
      <c r="T25" s="82"/>
      <c r="U25" s="41">
        <f t="shared" si="39"/>
        <v>14.82</v>
      </c>
      <c r="V25" s="41">
        <f t="shared" si="39"/>
        <v>16.2</v>
      </c>
      <c r="W25" s="82"/>
      <c r="X25" s="41">
        <f t="shared" si="40"/>
        <v>17.78</v>
      </c>
      <c r="Y25" s="41">
        <f t="shared" si="40"/>
        <v>19.440000000000001</v>
      </c>
      <c r="AA25" s="182">
        <f>ROUNDDOWN(C25/(1-$X$1)*1.2,1)</f>
        <v>17.7</v>
      </c>
      <c r="AB25" s="182">
        <f>ROUNDDOWN(D25/(1-$X$1)*1.2,1)</f>
        <v>19.399999999999999</v>
      </c>
      <c r="AD25" s="40">
        <f t="shared" si="41"/>
        <v>14.75</v>
      </c>
      <c r="AE25" s="40">
        <f t="shared" si="41"/>
        <v>16.166666666666668</v>
      </c>
      <c r="AG25" s="40">
        <f t="shared" si="49"/>
        <v>8.0000000000001847E-2</v>
      </c>
      <c r="AH25" s="40">
        <f t="shared" si="49"/>
        <v>4.00000000000027E-2</v>
      </c>
      <c r="AJ25" s="40">
        <f t="shared" si="42"/>
        <v>0.89</v>
      </c>
      <c r="AK25" s="40">
        <f t="shared" si="42"/>
        <v>0.97</v>
      </c>
      <c r="AL25" s="40"/>
      <c r="AM25" s="180">
        <f t="shared" si="50"/>
        <v>5.847999999999999</v>
      </c>
      <c r="AN25" s="180">
        <f t="shared" si="50"/>
        <v>6.4399999999999977</v>
      </c>
      <c r="AP25" s="76">
        <f t="shared" si="43"/>
        <v>9.999999999999995E-2</v>
      </c>
      <c r="AQ25" s="76">
        <f t="shared" si="43"/>
        <v>9.999999999999995E-2</v>
      </c>
      <c r="AS25" s="76">
        <f t="shared" si="44"/>
        <v>0.39460188933873136</v>
      </c>
      <c r="AT25" s="76">
        <f t="shared" si="44"/>
        <v>0.39753086419753075</v>
      </c>
      <c r="AV25" s="76">
        <f t="shared" si="45"/>
        <v>0.5</v>
      </c>
      <c r="AW25" s="76">
        <f t="shared" si="45"/>
        <v>0.5</v>
      </c>
      <c r="AX25" s="42"/>
      <c r="AY25" s="42">
        <f t="shared" si="46"/>
        <v>7.3299999999999983</v>
      </c>
      <c r="AZ25" s="42">
        <f t="shared" si="46"/>
        <v>8.0599999999999969</v>
      </c>
      <c r="BA25" s="42"/>
      <c r="BB25" s="76">
        <f t="shared" si="47"/>
        <v>0.49460188933873134</v>
      </c>
      <c r="BC25" s="76">
        <f t="shared" si="47"/>
        <v>0.49753086419753068</v>
      </c>
      <c r="BF25" s="40"/>
      <c r="BG25" s="40"/>
    </row>
    <row r="26" spans="2:59" x14ac:dyDescent="0.25">
      <c r="B26" s="25"/>
      <c r="C26" s="41"/>
      <c r="D26" s="41"/>
      <c r="E26" s="41"/>
      <c r="F26" s="41"/>
      <c r="G26" s="41"/>
      <c r="H26" s="82"/>
      <c r="I26" s="82"/>
      <c r="J26" s="82"/>
      <c r="K26" s="82"/>
      <c r="L26" s="41"/>
      <c r="M26" s="41"/>
      <c r="N26" s="4"/>
      <c r="O26" s="4"/>
      <c r="P26" s="4"/>
      <c r="Q26" s="4"/>
      <c r="R26" s="78"/>
      <c r="T26" s="4"/>
      <c r="U26" s="4"/>
      <c r="V26" s="4"/>
      <c r="W26" s="4"/>
      <c r="AJ26" s="40"/>
      <c r="AK26" s="40"/>
      <c r="AL26" s="40"/>
      <c r="AM26" s="102"/>
      <c r="AN26" s="102"/>
      <c r="AS26" s="76"/>
      <c r="AT26" s="76"/>
      <c r="AV26" s="40"/>
      <c r="AW26" s="40"/>
      <c r="BB26" s="77"/>
      <c r="BC26" s="77"/>
    </row>
    <row r="27" spans="2:59" x14ac:dyDescent="0.25">
      <c r="B27" s="32" t="s">
        <v>32</v>
      </c>
      <c r="C27" s="41"/>
      <c r="D27" s="41"/>
      <c r="E27" s="41"/>
      <c r="F27" s="41"/>
      <c r="G27" s="41"/>
      <c r="H27" s="82"/>
      <c r="I27" s="82"/>
      <c r="J27" s="82"/>
      <c r="K27" s="82"/>
      <c r="L27" s="41"/>
      <c r="M27" s="41"/>
      <c r="N27" s="4"/>
      <c r="O27" s="4"/>
      <c r="P27" s="4"/>
      <c r="Q27" s="4"/>
      <c r="R27" s="78"/>
      <c r="T27" s="4"/>
      <c r="U27" s="4"/>
      <c r="V27" s="4"/>
      <c r="W27" s="4"/>
      <c r="AJ27" s="40"/>
      <c r="AK27" s="40"/>
      <c r="AL27" s="40"/>
      <c r="AS27" s="103"/>
      <c r="AT27" s="103"/>
      <c r="AV27" s="40"/>
      <c r="AW27" s="40"/>
      <c r="BB27" s="77"/>
      <c r="BC27" s="77"/>
    </row>
    <row r="28" spans="2:59" x14ac:dyDescent="0.25">
      <c r="B28" s="25" t="s">
        <v>23</v>
      </c>
      <c r="C28" s="149">
        <f>ROUND('ST Standard from 24 Feb 26'!C28*SUM(1+1*'ST Standard from 4 Jun26'!$D$1),2)</f>
        <v>29.56</v>
      </c>
      <c r="D28" s="149">
        <f>ROUND('ST Standard from 24 Feb 26'!D28*SUM(1+1*'ST Standard from 4 Jun26'!$D$1),2)</f>
        <v>35.22</v>
      </c>
      <c r="E28" s="41"/>
      <c r="F28" s="41">
        <f t="shared" ref="F28:G33" si="51">C28*SUM(1+$G$1/$X$1)</f>
        <v>35.471999999999994</v>
      </c>
      <c r="G28" s="41">
        <f t="shared" si="51"/>
        <v>42.263999999999996</v>
      </c>
      <c r="H28" s="82"/>
      <c r="I28" s="41">
        <f t="shared" ref="I28:J33" si="52">F28-C28</f>
        <v>5.9119999999999955</v>
      </c>
      <c r="J28" s="41">
        <f t="shared" si="52"/>
        <v>7.0439999999999969</v>
      </c>
      <c r="K28" s="82"/>
      <c r="L28" s="41">
        <f t="shared" ref="L28:M33" si="53">ROUND(C28*(1+$G$1*2),2)*SUM(1+$M$1)</f>
        <v>39.017000000000003</v>
      </c>
      <c r="M28" s="41">
        <f t="shared" si="53"/>
        <v>46.486000000000004</v>
      </c>
      <c r="N28" s="82"/>
      <c r="O28" s="41">
        <f t="shared" ref="O28:P32" si="54">L28-C28</f>
        <v>9.4570000000000043</v>
      </c>
      <c r="P28" s="41">
        <f t="shared" si="54"/>
        <v>11.266000000000005</v>
      </c>
      <c r="Q28" s="82"/>
      <c r="R28" s="76">
        <f t="shared" ref="R28:S33" si="55">AJ28/F28</f>
        <v>0.1000789354984213</v>
      </c>
      <c r="S28" s="76">
        <f t="shared" si="55"/>
        <v>0.10008517887563886</v>
      </c>
      <c r="T28" s="82"/>
      <c r="U28" s="41">
        <f t="shared" ref="U28:V33" si="56">SUM(C28/(1-$X$1))</f>
        <v>59.12</v>
      </c>
      <c r="V28" s="41">
        <f t="shared" si="56"/>
        <v>70.44</v>
      </c>
      <c r="W28" s="82"/>
      <c r="X28" s="41">
        <f t="shared" ref="X28:Y33" si="57">ROUND(C28/(1-$X$1)*1.2,2)</f>
        <v>70.94</v>
      </c>
      <c r="Y28" s="41">
        <f t="shared" si="57"/>
        <v>84.53</v>
      </c>
      <c r="AA28" s="182">
        <f>ROUNDDOWN(C28/(1-$X$1)*1.2,1)</f>
        <v>70.900000000000006</v>
      </c>
      <c r="AB28" s="182">
        <f>ROUNDDOWN(D28/(1-$X$1)*1.2,1)</f>
        <v>84.5</v>
      </c>
      <c r="AD28" s="40">
        <f t="shared" ref="AD28:AE33" si="58">AA28/1.2</f>
        <v>59.083333333333343</v>
      </c>
      <c r="AE28" s="40">
        <f t="shared" si="58"/>
        <v>70.416666666666671</v>
      </c>
      <c r="AG28" s="40">
        <f>X28-AA28</f>
        <v>3.9999999999992042E-2</v>
      </c>
      <c r="AH28" s="40">
        <f>Y28-AB28</f>
        <v>3.0000000000001137E-2</v>
      </c>
      <c r="AJ28" s="40">
        <f t="shared" ref="AJ28:AK33" si="59">ROUND(L28*(1-(1/(1+$AL$1))),2)</f>
        <v>3.55</v>
      </c>
      <c r="AK28" s="40">
        <f t="shared" si="59"/>
        <v>4.2300000000000004</v>
      </c>
      <c r="AL28" s="40"/>
      <c r="AM28" s="180">
        <f>SUM(U28-F28)-AG28</f>
        <v>23.608000000000011</v>
      </c>
      <c r="AN28" s="180">
        <f>SUM(V28-G28)-AH28</f>
        <v>28.146000000000001</v>
      </c>
      <c r="AP28" s="76">
        <f t="shared" ref="AP28:AQ33" si="60">(SUM(F28-C28)/C28)*$X$1</f>
        <v>9.9999999999999922E-2</v>
      </c>
      <c r="AQ28" s="76">
        <f t="shared" si="60"/>
        <v>9.9999999999999964E-2</v>
      </c>
      <c r="AS28" s="76">
        <f t="shared" ref="AS28:AT33" si="61">AM28/U28</f>
        <v>0.399323410013532</v>
      </c>
      <c r="AT28" s="76">
        <f t="shared" si="61"/>
        <v>0.39957410562180584</v>
      </c>
      <c r="AV28" s="76">
        <f t="shared" ref="AV28:AW33" si="62">C28/U28</f>
        <v>0.5</v>
      </c>
      <c r="AW28" s="76">
        <f t="shared" si="62"/>
        <v>0.5</v>
      </c>
      <c r="AX28" s="42"/>
      <c r="AY28" s="42">
        <f t="shared" ref="AY28:AZ33" si="63">I28+AM28</f>
        <v>29.520000000000007</v>
      </c>
      <c r="AZ28" s="42">
        <f t="shared" si="63"/>
        <v>35.19</v>
      </c>
      <c r="BA28" s="42"/>
      <c r="BB28" s="76">
        <f t="shared" ref="BB28:BC33" si="64">AY28/(C28/$X$1)</f>
        <v>0.49932341001353192</v>
      </c>
      <c r="BC28" s="76">
        <f t="shared" si="64"/>
        <v>0.49957410562180576</v>
      </c>
      <c r="BF28" s="40"/>
      <c r="BG28" s="40"/>
    </row>
    <row r="29" spans="2:59" x14ac:dyDescent="0.25">
      <c r="B29" s="25" t="s">
        <v>24</v>
      </c>
      <c r="C29" s="149">
        <f>ROUND('ST Standard from 24 Feb 26'!C29*SUM(1+1*'ST Standard from 4 Jun26'!$D$1),2)</f>
        <v>35.770000000000003</v>
      </c>
      <c r="D29" s="149">
        <f>ROUND('ST Standard from 24 Feb 26'!D29*SUM(1+1*'ST Standard from 4 Jun26'!$D$1),2)</f>
        <v>42.36</v>
      </c>
      <c r="E29" s="41"/>
      <c r="F29" s="41">
        <f t="shared" si="51"/>
        <v>42.923999999999999</v>
      </c>
      <c r="G29" s="41">
        <f t="shared" si="51"/>
        <v>50.832000000000001</v>
      </c>
      <c r="H29" s="82"/>
      <c r="I29" s="41">
        <f t="shared" si="52"/>
        <v>7.1539999999999964</v>
      </c>
      <c r="J29" s="41">
        <f t="shared" si="52"/>
        <v>8.4720000000000013</v>
      </c>
      <c r="K29" s="82"/>
      <c r="L29" s="41">
        <f t="shared" si="53"/>
        <v>47.212000000000003</v>
      </c>
      <c r="M29" s="41">
        <f t="shared" si="53"/>
        <v>55.913000000000004</v>
      </c>
      <c r="N29" s="82"/>
      <c r="O29" s="41">
        <f t="shared" si="54"/>
        <v>11.442</v>
      </c>
      <c r="P29" s="41">
        <f t="shared" si="54"/>
        <v>13.553000000000004</v>
      </c>
      <c r="Q29" s="82"/>
      <c r="R29" s="76">
        <f t="shared" si="55"/>
        <v>9.9944087223930667E-2</v>
      </c>
      <c r="S29" s="76">
        <f t="shared" si="55"/>
        <v>9.9937047529115516E-2</v>
      </c>
      <c r="T29" s="82"/>
      <c r="U29" s="41">
        <f t="shared" si="56"/>
        <v>71.540000000000006</v>
      </c>
      <c r="V29" s="41">
        <f t="shared" si="56"/>
        <v>84.72</v>
      </c>
      <c r="W29" s="82"/>
      <c r="X29" s="41">
        <f t="shared" si="57"/>
        <v>85.85</v>
      </c>
      <c r="Y29" s="41">
        <f t="shared" si="57"/>
        <v>101.66</v>
      </c>
      <c r="AA29" s="182">
        <f t="shared" ref="AA29:AB32" si="65">ROUNDDOWN(C29/(1-$X$1)*1.2,1)</f>
        <v>85.8</v>
      </c>
      <c r="AB29" s="182">
        <f t="shared" si="65"/>
        <v>101.6</v>
      </c>
      <c r="AD29" s="40">
        <f t="shared" si="58"/>
        <v>71.5</v>
      </c>
      <c r="AE29" s="40">
        <f t="shared" si="58"/>
        <v>84.666666666666671</v>
      </c>
      <c r="AG29" s="40">
        <f t="shared" ref="AG29:AH33" si="66">X29-AA29</f>
        <v>4.9999999999997158E-2</v>
      </c>
      <c r="AH29" s="40">
        <f t="shared" si="66"/>
        <v>6.0000000000002274E-2</v>
      </c>
      <c r="AJ29" s="40">
        <f t="shared" si="59"/>
        <v>4.29</v>
      </c>
      <c r="AK29" s="40">
        <f t="shared" si="59"/>
        <v>5.08</v>
      </c>
      <c r="AL29" s="40"/>
      <c r="AM29" s="180">
        <f t="shared" ref="AM29:AN33" si="67">SUM(U29-F29)-AG29</f>
        <v>28.56600000000001</v>
      </c>
      <c r="AN29" s="180">
        <f t="shared" si="67"/>
        <v>33.827999999999996</v>
      </c>
      <c r="AP29" s="76">
        <f t="shared" si="60"/>
        <v>9.9999999999999936E-2</v>
      </c>
      <c r="AQ29" s="76">
        <f t="shared" si="60"/>
        <v>0.10000000000000002</v>
      </c>
      <c r="AS29" s="76">
        <f t="shared" si="61"/>
        <v>0.39930109029913347</v>
      </c>
      <c r="AT29" s="76">
        <f t="shared" si="61"/>
        <v>0.39929178470254956</v>
      </c>
      <c r="AV29" s="76">
        <f t="shared" si="62"/>
        <v>0.5</v>
      </c>
      <c r="AW29" s="76">
        <f t="shared" si="62"/>
        <v>0.5</v>
      </c>
      <c r="AX29" s="42"/>
      <c r="AY29" s="42">
        <f t="shared" si="63"/>
        <v>35.720000000000006</v>
      </c>
      <c r="AZ29" s="42">
        <f t="shared" si="63"/>
        <v>42.3</v>
      </c>
      <c r="BA29" s="42"/>
      <c r="BB29" s="76">
        <f t="shared" si="64"/>
        <v>0.49930109029913339</v>
      </c>
      <c r="BC29" s="76">
        <f t="shared" si="64"/>
        <v>0.49929178470254953</v>
      </c>
      <c r="BF29" s="40"/>
      <c r="BG29" s="40"/>
    </row>
    <row r="30" spans="2:59" x14ac:dyDescent="0.25">
      <c r="B30" s="25" t="s">
        <v>25</v>
      </c>
      <c r="C30" s="149">
        <f>ROUND('ST Standard from 24 Feb 26'!C30*SUM(1+1*'ST Standard from 4 Jun26'!$D$1),2)</f>
        <v>44.15</v>
      </c>
      <c r="D30" s="149">
        <f>ROUND('ST Standard from 24 Feb 26'!D30*SUM(1+1*'ST Standard from 4 Jun26'!$D$1),2)</f>
        <v>49.06</v>
      </c>
      <c r="E30" s="41"/>
      <c r="F30" s="41">
        <f t="shared" si="51"/>
        <v>52.98</v>
      </c>
      <c r="G30" s="41">
        <f t="shared" si="51"/>
        <v>58.872</v>
      </c>
      <c r="H30" s="82"/>
      <c r="I30" s="41">
        <f t="shared" si="52"/>
        <v>8.8299999999999983</v>
      </c>
      <c r="J30" s="41">
        <f t="shared" si="52"/>
        <v>9.8119999999999976</v>
      </c>
      <c r="K30" s="82"/>
      <c r="L30" s="41">
        <f t="shared" si="53"/>
        <v>58.277999999999999</v>
      </c>
      <c r="M30" s="41">
        <f t="shared" si="53"/>
        <v>64.757000000000005</v>
      </c>
      <c r="N30" s="82"/>
      <c r="O30" s="41">
        <f t="shared" si="54"/>
        <v>14.128</v>
      </c>
      <c r="P30" s="41">
        <f t="shared" si="54"/>
        <v>15.697000000000003</v>
      </c>
      <c r="Q30" s="82"/>
      <c r="R30" s="76">
        <f t="shared" si="55"/>
        <v>0.10003775009437524</v>
      </c>
      <c r="S30" s="76">
        <f t="shared" si="55"/>
        <v>0.10004756080989265</v>
      </c>
      <c r="T30" s="82"/>
      <c r="U30" s="41">
        <f t="shared" si="56"/>
        <v>88.3</v>
      </c>
      <c r="V30" s="41">
        <f t="shared" si="56"/>
        <v>98.12</v>
      </c>
      <c r="W30" s="82"/>
      <c r="X30" s="41">
        <f t="shared" si="57"/>
        <v>105.96</v>
      </c>
      <c r="Y30" s="41">
        <f t="shared" si="57"/>
        <v>117.74</v>
      </c>
      <c r="AA30" s="182">
        <f t="shared" si="65"/>
        <v>105.9</v>
      </c>
      <c r="AB30" s="182">
        <f t="shared" si="65"/>
        <v>117.7</v>
      </c>
      <c r="AD30" s="40">
        <f t="shared" si="58"/>
        <v>88.250000000000014</v>
      </c>
      <c r="AE30" s="40">
        <f t="shared" si="58"/>
        <v>98.083333333333343</v>
      </c>
      <c r="AG30" s="40">
        <f t="shared" si="66"/>
        <v>5.9999999999988063E-2</v>
      </c>
      <c r="AH30" s="40">
        <f t="shared" si="66"/>
        <v>3.9999999999992042E-2</v>
      </c>
      <c r="AJ30" s="40">
        <f t="shared" si="59"/>
        <v>5.3</v>
      </c>
      <c r="AK30" s="40">
        <f t="shared" si="59"/>
        <v>5.89</v>
      </c>
      <c r="AL30" s="40"/>
      <c r="AM30" s="180">
        <f t="shared" si="67"/>
        <v>35.260000000000012</v>
      </c>
      <c r="AN30" s="180">
        <f t="shared" si="67"/>
        <v>39.208000000000013</v>
      </c>
      <c r="AP30" s="76">
        <f t="shared" si="60"/>
        <v>9.9999999999999978E-2</v>
      </c>
      <c r="AQ30" s="76">
        <f t="shared" si="60"/>
        <v>9.9999999999999978E-2</v>
      </c>
      <c r="AS30" s="76">
        <f t="shared" si="61"/>
        <v>0.39932049830124589</v>
      </c>
      <c r="AT30" s="76">
        <f t="shared" si="61"/>
        <v>0.39959233591520599</v>
      </c>
      <c r="AV30" s="76">
        <f t="shared" si="62"/>
        <v>0.5</v>
      </c>
      <c r="AW30" s="76">
        <f t="shared" si="62"/>
        <v>0.5</v>
      </c>
      <c r="AX30" s="42"/>
      <c r="AY30" s="42">
        <f t="shared" si="63"/>
        <v>44.090000000000011</v>
      </c>
      <c r="AZ30" s="42">
        <f t="shared" si="63"/>
        <v>49.02000000000001</v>
      </c>
      <c r="BA30" s="42"/>
      <c r="BB30" s="76">
        <f t="shared" si="64"/>
        <v>0.49932049830124586</v>
      </c>
      <c r="BC30" s="76">
        <f t="shared" si="64"/>
        <v>0.49959233591520597</v>
      </c>
      <c r="BF30" s="40"/>
      <c r="BG30" s="40"/>
    </row>
    <row r="31" spans="2:59" x14ac:dyDescent="0.25">
      <c r="B31" s="25" t="s">
        <v>33</v>
      </c>
      <c r="C31" s="149">
        <f>ROUND('ST Standard from 24 Feb 26'!C31*SUM(1+1*'ST Standard from 4 Jun26'!$D$1),2)</f>
        <v>55.32</v>
      </c>
      <c r="D31" s="149">
        <f>ROUND('ST Standard from 24 Feb 26'!D31*SUM(1+1*'ST Standard from 4 Jun26'!$D$1),2)</f>
        <v>63.61</v>
      </c>
      <c r="E31" s="41"/>
      <c r="F31" s="41">
        <f t="shared" si="51"/>
        <v>66.384</v>
      </c>
      <c r="G31" s="41">
        <f t="shared" si="51"/>
        <v>76.331999999999994</v>
      </c>
      <c r="H31" s="82"/>
      <c r="I31" s="41">
        <f t="shared" si="52"/>
        <v>11.064</v>
      </c>
      <c r="J31" s="41">
        <f t="shared" si="52"/>
        <v>12.721999999999994</v>
      </c>
      <c r="K31" s="82"/>
      <c r="L31" s="41">
        <f t="shared" si="53"/>
        <v>73.018000000000001</v>
      </c>
      <c r="M31" s="41">
        <f t="shared" si="53"/>
        <v>83.963000000000008</v>
      </c>
      <c r="N31" s="82"/>
      <c r="O31" s="41">
        <f t="shared" si="54"/>
        <v>17.698</v>
      </c>
      <c r="P31" s="41">
        <f t="shared" si="54"/>
        <v>20.353000000000009</v>
      </c>
      <c r="Q31" s="82"/>
      <c r="R31" s="76">
        <f t="shared" si="55"/>
        <v>0.10002410219329959</v>
      </c>
      <c r="S31" s="76">
        <f t="shared" si="55"/>
        <v>9.9958077870355821E-2</v>
      </c>
      <c r="T31" s="82"/>
      <c r="U31" s="41">
        <f t="shared" si="56"/>
        <v>110.64</v>
      </c>
      <c r="V31" s="41">
        <f t="shared" si="56"/>
        <v>127.22</v>
      </c>
      <c r="W31" s="82"/>
      <c r="X31" s="41">
        <f t="shared" si="57"/>
        <v>132.77000000000001</v>
      </c>
      <c r="Y31" s="41">
        <f t="shared" si="57"/>
        <v>152.66</v>
      </c>
      <c r="AA31" s="182">
        <f t="shared" si="65"/>
        <v>132.69999999999999</v>
      </c>
      <c r="AB31" s="182">
        <f t="shared" si="65"/>
        <v>152.6</v>
      </c>
      <c r="AD31" s="40">
        <f t="shared" si="58"/>
        <v>110.58333333333333</v>
      </c>
      <c r="AE31" s="40">
        <f t="shared" si="58"/>
        <v>127.16666666666667</v>
      </c>
      <c r="AG31" s="40">
        <f t="shared" si="66"/>
        <v>7.00000000000216E-2</v>
      </c>
      <c r="AH31" s="40">
        <f t="shared" si="66"/>
        <v>6.0000000000002274E-2</v>
      </c>
      <c r="AJ31" s="40">
        <f t="shared" si="59"/>
        <v>6.64</v>
      </c>
      <c r="AK31" s="40">
        <f t="shared" si="59"/>
        <v>7.63</v>
      </c>
      <c r="AL31" s="40"/>
      <c r="AM31" s="180">
        <f t="shared" si="67"/>
        <v>44.185999999999979</v>
      </c>
      <c r="AN31" s="180">
        <f t="shared" si="67"/>
        <v>50.828000000000003</v>
      </c>
      <c r="AP31" s="76">
        <f t="shared" si="60"/>
        <v>0.1</v>
      </c>
      <c r="AQ31" s="76">
        <f t="shared" si="60"/>
        <v>9.999999999999995E-2</v>
      </c>
      <c r="AS31" s="76">
        <f t="shared" si="61"/>
        <v>0.39936731742588555</v>
      </c>
      <c r="AT31" s="76">
        <f t="shared" si="61"/>
        <v>0.39952837604150293</v>
      </c>
      <c r="AV31" s="76">
        <f t="shared" si="62"/>
        <v>0.5</v>
      </c>
      <c r="AW31" s="76">
        <f t="shared" si="62"/>
        <v>0.5</v>
      </c>
      <c r="AX31" s="42"/>
      <c r="AY31" s="42">
        <f t="shared" si="63"/>
        <v>55.249999999999979</v>
      </c>
      <c r="AZ31" s="42">
        <f t="shared" si="63"/>
        <v>63.55</v>
      </c>
      <c r="BA31" s="42"/>
      <c r="BB31" s="76">
        <f t="shared" si="64"/>
        <v>0.49936731742588558</v>
      </c>
      <c r="BC31" s="76">
        <f t="shared" si="64"/>
        <v>0.49952837604150291</v>
      </c>
      <c r="BF31" s="40"/>
      <c r="BG31" s="40"/>
    </row>
    <row r="32" spans="2:59" x14ac:dyDescent="0.25">
      <c r="B32" s="25" t="s">
        <v>27</v>
      </c>
      <c r="C32" s="149">
        <f>ROUND('ST Standard from 24 Feb 26'!C32*SUM(1+1*'ST Standard from 4 Jun26'!$D$1),2)</f>
        <v>61.02</v>
      </c>
      <c r="D32" s="149">
        <f>ROUND('ST Standard from 24 Feb 26'!D32*SUM(1+1*'ST Standard from 4 Jun26'!$D$1),2)</f>
        <v>68.849999999999994</v>
      </c>
      <c r="E32" s="41"/>
      <c r="F32" s="41">
        <f t="shared" si="51"/>
        <v>73.224000000000004</v>
      </c>
      <c r="G32" s="41">
        <f t="shared" si="51"/>
        <v>82.61999999999999</v>
      </c>
      <c r="H32" s="82"/>
      <c r="I32" s="41">
        <f t="shared" si="52"/>
        <v>12.204000000000001</v>
      </c>
      <c r="J32" s="41">
        <f t="shared" si="52"/>
        <v>13.769999999999996</v>
      </c>
      <c r="K32" s="82"/>
      <c r="L32" s="41">
        <f t="shared" si="53"/>
        <v>80.542000000000002</v>
      </c>
      <c r="M32" s="41">
        <f t="shared" si="53"/>
        <v>90.882000000000019</v>
      </c>
      <c r="N32" s="82"/>
      <c r="O32" s="41">
        <f t="shared" si="54"/>
        <v>19.521999999999998</v>
      </c>
      <c r="P32" s="41">
        <f t="shared" si="54"/>
        <v>22.032000000000025</v>
      </c>
      <c r="Q32" s="82"/>
      <c r="R32" s="76">
        <f t="shared" si="55"/>
        <v>9.9967223861029172E-2</v>
      </c>
      <c r="S32" s="76">
        <f t="shared" si="55"/>
        <v>9.9975792786250309E-2</v>
      </c>
      <c r="T32" s="82"/>
      <c r="U32" s="41">
        <f t="shared" si="56"/>
        <v>122.04</v>
      </c>
      <c r="V32" s="41">
        <f t="shared" si="56"/>
        <v>137.69999999999999</v>
      </c>
      <c r="W32" s="82"/>
      <c r="X32" s="41">
        <f t="shared" si="57"/>
        <v>146.44999999999999</v>
      </c>
      <c r="Y32" s="41">
        <f t="shared" si="57"/>
        <v>165.24</v>
      </c>
      <c r="AA32" s="182">
        <f t="shared" si="65"/>
        <v>146.4</v>
      </c>
      <c r="AB32" s="182">
        <f t="shared" si="65"/>
        <v>165.2</v>
      </c>
      <c r="AD32" s="40">
        <f t="shared" si="58"/>
        <v>122.00000000000001</v>
      </c>
      <c r="AE32" s="40">
        <f t="shared" si="58"/>
        <v>137.66666666666666</v>
      </c>
      <c r="AG32" s="40">
        <f t="shared" si="66"/>
        <v>4.9999999999982947E-2</v>
      </c>
      <c r="AH32" s="40">
        <f t="shared" si="66"/>
        <v>4.0000000000020464E-2</v>
      </c>
      <c r="AJ32" s="40">
        <f t="shared" si="59"/>
        <v>7.32</v>
      </c>
      <c r="AK32" s="40">
        <f t="shared" si="59"/>
        <v>8.26</v>
      </c>
      <c r="AL32" s="40"/>
      <c r="AM32" s="180">
        <f t="shared" si="67"/>
        <v>48.76600000000002</v>
      </c>
      <c r="AN32" s="180">
        <f t="shared" si="67"/>
        <v>55.039999999999978</v>
      </c>
      <c r="AP32" s="76">
        <f t="shared" si="60"/>
        <v>0.1</v>
      </c>
      <c r="AQ32" s="76">
        <f t="shared" si="60"/>
        <v>9.9999999999999978E-2</v>
      </c>
      <c r="AS32" s="76">
        <f t="shared" si="61"/>
        <v>0.3995902982628648</v>
      </c>
      <c r="AT32" s="76">
        <f t="shared" si="61"/>
        <v>0.39970951343500349</v>
      </c>
      <c r="AV32" s="76">
        <f t="shared" si="62"/>
        <v>0.5</v>
      </c>
      <c r="AW32" s="76">
        <f t="shared" si="62"/>
        <v>0.5</v>
      </c>
      <c r="AX32" s="42"/>
      <c r="AY32" s="42">
        <f t="shared" si="63"/>
        <v>60.97000000000002</v>
      </c>
      <c r="AZ32" s="42">
        <f t="shared" si="63"/>
        <v>68.809999999999974</v>
      </c>
      <c r="BA32" s="42"/>
      <c r="BB32" s="76">
        <f t="shared" si="64"/>
        <v>0.49959029826286477</v>
      </c>
      <c r="BC32" s="76">
        <f t="shared" si="64"/>
        <v>0.49970951343500347</v>
      </c>
      <c r="BF32" s="40"/>
      <c r="BG32" s="40"/>
    </row>
    <row r="33" spans="1:59" x14ac:dyDescent="0.25">
      <c r="B33" s="25" t="s">
        <v>29</v>
      </c>
      <c r="C33" s="149">
        <f>ROUND('ST Standard from 24 Feb 26'!C33*SUM(1+1*'ST Standard from 4 Jun26'!$D$1),2)</f>
        <v>10</v>
      </c>
      <c r="D33" s="149">
        <f>ROUND('ST Standard from 24 Feb 26'!D33*SUM(1+1*'ST Standard from 4 Jun26'!$D$1),2)</f>
        <v>10.82</v>
      </c>
      <c r="E33" s="41"/>
      <c r="F33" s="41">
        <f t="shared" si="51"/>
        <v>12</v>
      </c>
      <c r="G33" s="41">
        <f t="shared" si="51"/>
        <v>12.984</v>
      </c>
      <c r="H33" s="82"/>
      <c r="I33" s="41">
        <f t="shared" si="52"/>
        <v>2</v>
      </c>
      <c r="J33" s="41">
        <f t="shared" si="52"/>
        <v>2.1639999999999997</v>
      </c>
      <c r="K33" s="82"/>
      <c r="L33" s="41">
        <f t="shared" si="53"/>
        <v>13.200000000000001</v>
      </c>
      <c r="M33" s="41">
        <f t="shared" si="53"/>
        <v>14.278000000000002</v>
      </c>
      <c r="N33" s="82"/>
      <c r="O33" s="41">
        <f>L33-C33</f>
        <v>3.2000000000000011</v>
      </c>
      <c r="P33" s="41">
        <f>M33-D33</f>
        <v>3.458000000000002</v>
      </c>
      <c r="Q33" s="82"/>
      <c r="R33" s="76">
        <f t="shared" si="55"/>
        <v>9.9999999999999992E-2</v>
      </c>
      <c r="S33" s="76">
        <f t="shared" si="55"/>
        <v>0.10012322858903266</v>
      </c>
      <c r="T33" s="82"/>
      <c r="U33" s="41">
        <f t="shared" si="56"/>
        <v>20</v>
      </c>
      <c r="V33" s="41">
        <f t="shared" si="56"/>
        <v>21.64</v>
      </c>
      <c r="W33" s="82"/>
      <c r="X33" s="41">
        <f t="shared" si="57"/>
        <v>24</v>
      </c>
      <c r="Y33" s="41">
        <f t="shared" si="57"/>
        <v>25.97</v>
      </c>
      <c r="AA33" s="182">
        <f>ROUNDDOWN(C33/(1-$X$1)*1.2,1)</f>
        <v>24</v>
      </c>
      <c r="AB33" s="182">
        <f>ROUNDDOWN(D33/(1-$X$1)*1.2,1)</f>
        <v>25.9</v>
      </c>
      <c r="AD33" s="40">
        <f t="shared" si="58"/>
        <v>20</v>
      </c>
      <c r="AE33" s="40">
        <f t="shared" si="58"/>
        <v>21.583333333333332</v>
      </c>
      <c r="AG33" s="40">
        <f t="shared" si="66"/>
        <v>0</v>
      </c>
      <c r="AH33" s="40">
        <f t="shared" si="66"/>
        <v>7.0000000000000284E-2</v>
      </c>
      <c r="AJ33" s="40">
        <f t="shared" si="59"/>
        <v>1.2</v>
      </c>
      <c r="AK33" s="40">
        <f t="shared" si="59"/>
        <v>1.3</v>
      </c>
      <c r="AL33" s="40"/>
      <c r="AM33" s="180">
        <f t="shared" si="67"/>
        <v>8</v>
      </c>
      <c r="AN33" s="180">
        <f t="shared" si="67"/>
        <v>8.5860000000000003</v>
      </c>
      <c r="AP33" s="76">
        <f t="shared" si="60"/>
        <v>0.1</v>
      </c>
      <c r="AQ33" s="76">
        <f t="shared" si="60"/>
        <v>9.9999999999999978E-2</v>
      </c>
      <c r="AS33" s="76">
        <f t="shared" si="61"/>
        <v>0.4</v>
      </c>
      <c r="AT33" s="76">
        <f t="shared" si="61"/>
        <v>0.39676524953789277</v>
      </c>
      <c r="AV33" s="76">
        <f t="shared" si="62"/>
        <v>0.5</v>
      </c>
      <c r="AW33" s="76">
        <f t="shared" si="62"/>
        <v>0.5</v>
      </c>
      <c r="AX33" s="42"/>
      <c r="AY33" s="42">
        <f t="shared" si="63"/>
        <v>10</v>
      </c>
      <c r="AZ33" s="42">
        <f t="shared" si="63"/>
        <v>10.75</v>
      </c>
      <c r="BA33" s="42"/>
      <c r="BB33" s="76">
        <f t="shared" si="64"/>
        <v>0.5</v>
      </c>
      <c r="BC33" s="76">
        <f t="shared" si="64"/>
        <v>0.49676524953789281</v>
      </c>
      <c r="BF33" s="40"/>
      <c r="BG33" s="40"/>
    </row>
    <row r="34" spans="1:59" x14ac:dyDescent="0.25">
      <c r="C34" s="39"/>
      <c r="D34" s="39"/>
      <c r="E34" s="39"/>
      <c r="F34" s="39"/>
      <c r="L34" s="41"/>
      <c r="M34" s="39"/>
      <c r="U34" s="41"/>
      <c r="V34" s="41"/>
      <c r="W34" s="39"/>
      <c r="AK34" s="76"/>
      <c r="AL34" s="76"/>
      <c r="AM34" s="76"/>
    </row>
    <row r="35" spans="1:59" x14ac:dyDescent="0.25">
      <c r="A35" s="4" t="s">
        <v>34</v>
      </c>
      <c r="C35" s="40"/>
      <c r="D35" s="40"/>
      <c r="E35" s="40"/>
      <c r="F35" s="40"/>
      <c r="L35" s="40"/>
      <c r="M35" s="40"/>
      <c r="AK35" s="76"/>
      <c r="AL35" s="76"/>
      <c r="AM35" s="76"/>
    </row>
    <row r="36" spans="1:59" x14ac:dyDescent="0.25">
      <c r="C36" s="40"/>
      <c r="D36" s="40"/>
      <c r="E36" s="40"/>
      <c r="F36" s="40"/>
      <c r="M36" s="40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K36" s="76"/>
      <c r="AL36" s="76"/>
      <c r="AM36" s="76"/>
    </row>
    <row r="37" spans="1:59" x14ac:dyDescent="0.25">
      <c r="B37" s="200" t="s">
        <v>175</v>
      </c>
      <c r="C37" s="203" t="s">
        <v>196</v>
      </c>
      <c r="D37" s="172" t="s">
        <v>191</v>
      </c>
      <c r="E37" s="40"/>
      <c r="F37" s="40"/>
      <c r="M37" s="40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K37" s="76"/>
      <c r="AL37" s="76"/>
      <c r="AM37" s="76"/>
    </row>
    <row r="38" spans="1:59" x14ac:dyDescent="0.25">
      <c r="B38" s="1" t="s">
        <v>176</v>
      </c>
      <c r="C38" s="25" t="s">
        <v>197</v>
      </c>
      <c r="D38" s="199">
        <v>1</v>
      </c>
      <c r="E38" s="40"/>
      <c r="F38" s="40"/>
      <c r="M38" s="40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K38" s="76"/>
      <c r="AL38" s="76"/>
      <c r="AM38" s="76"/>
    </row>
    <row r="39" spans="1:59" x14ac:dyDescent="0.25">
      <c r="B39" s="1" t="s">
        <v>194</v>
      </c>
      <c r="C39" s="25" t="s">
        <v>195</v>
      </c>
      <c r="D39" s="199">
        <v>1.1499999999999999</v>
      </c>
      <c r="E39" s="40"/>
      <c r="F39" s="40"/>
      <c r="M39" s="40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K39" s="76"/>
      <c r="AL39" s="76"/>
      <c r="AM39" s="76"/>
    </row>
    <row r="40" spans="1:59" x14ac:dyDescent="0.25">
      <c r="B40" s="1" t="s">
        <v>177</v>
      </c>
      <c r="C40" s="25" t="s">
        <v>192</v>
      </c>
      <c r="D40" s="199">
        <v>1.3</v>
      </c>
      <c r="E40" s="40"/>
      <c r="F40" s="40"/>
      <c r="M40" s="40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K40" s="76"/>
      <c r="AL40" s="76"/>
      <c r="AM40" s="76"/>
    </row>
    <row r="41" spans="1:59" x14ac:dyDescent="0.25">
      <c r="B41" s="1" t="s">
        <v>178</v>
      </c>
      <c r="C41" s="25" t="s">
        <v>192</v>
      </c>
      <c r="D41" s="199">
        <v>1.3</v>
      </c>
      <c r="E41" s="40"/>
      <c r="F41" s="40"/>
      <c r="M41" s="40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K41" s="76"/>
      <c r="AL41" s="76"/>
      <c r="AM41" s="76"/>
    </row>
    <row r="42" spans="1:59" x14ac:dyDescent="0.25">
      <c r="B42" s="1" t="s">
        <v>179</v>
      </c>
      <c r="C42" s="25" t="s">
        <v>193</v>
      </c>
      <c r="D42" s="199">
        <v>1.35</v>
      </c>
      <c r="E42" s="40"/>
      <c r="F42" s="40"/>
      <c r="M42" s="40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K42" s="76"/>
      <c r="AL42" s="76"/>
      <c r="AM42" s="76"/>
    </row>
    <row r="43" spans="1:59" x14ac:dyDescent="0.25">
      <c r="B43" s="1" t="s">
        <v>180</v>
      </c>
      <c r="C43" s="25" t="s">
        <v>193</v>
      </c>
      <c r="D43" s="199">
        <v>1.35</v>
      </c>
      <c r="E43" s="40"/>
      <c r="F43" s="40"/>
      <c r="M43" s="40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K43" s="76"/>
      <c r="AL43" s="76"/>
      <c r="AM43" s="76"/>
    </row>
    <row r="44" spans="1:59" x14ac:dyDescent="0.25">
      <c r="B44" s="1" t="s">
        <v>181</v>
      </c>
      <c r="C44" s="25" t="s">
        <v>193</v>
      </c>
      <c r="D44" s="199">
        <v>1.35</v>
      </c>
      <c r="E44" s="40"/>
      <c r="F44" s="40"/>
      <c r="M44" s="40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K44" s="76"/>
      <c r="AL44" s="76"/>
      <c r="AM44" s="76"/>
    </row>
    <row r="45" spans="1:59" x14ac:dyDescent="0.25">
      <c r="B45" s="1" t="s">
        <v>182</v>
      </c>
      <c r="C45" s="25" t="s">
        <v>193</v>
      </c>
      <c r="D45" s="199">
        <v>1.35</v>
      </c>
      <c r="E45" s="40"/>
      <c r="F45" s="40"/>
      <c r="M45" s="40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K45" s="76"/>
      <c r="AL45" s="76"/>
      <c r="AM45" s="76"/>
    </row>
    <row r="46" spans="1:59" x14ac:dyDescent="0.25">
      <c r="B46" s="1" t="s">
        <v>183</v>
      </c>
      <c r="C46" s="25" t="s">
        <v>193</v>
      </c>
      <c r="D46" s="199">
        <v>1.35</v>
      </c>
      <c r="E46" s="40"/>
      <c r="F46" s="40"/>
      <c r="M46" s="40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K46" s="76"/>
      <c r="AL46" s="76"/>
      <c r="AM46" s="76"/>
    </row>
    <row r="47" spans="1:59" x14ac:dyDescent="0.25">
      <c r="B47" s="1" t="s">
        <v>184</v>
      </c>
      <c r="C47" s="25" t="s">
        <v>193</v>
      </c>
      <c r="D47" s="199">
        <v>1.35</v>
      </c>
      <c r="E47" s="40"/>
      <c r="F47" s="40"/>
      <c r="M47" s="40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K47" s="76"/>
      <c r="AL47" s="76"/>
      <c r="AM47" s="76"/>
    </row>
    <row r="48" spans="1:59" x14ac:dyDescent="0.25">
      <c r="B48" s="1" t="s">
        <v>185</v>
      </c>
      <c r="C48" s="25" t="s">
        <v>193</v>
      </c>
      <c r="D48" s="199">
        <v>1.35</v>
      </c>
      <c r="E48" s="40"/>
      <c r="F48" s="40"/>
      <c r="M48" s="40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K48" s="76"/>
      <c r="AL48" s="76"/>
      <c r="AM48" s="76"/>
    </row>
    <row r="49" spans="1:39" x14ac:dyDescent="0.25">
      <c r="B49" s="1" t="s">
        <v>186</v>
      </c>
      <c r="C49" s="25" t="s">
        <v>193</v>
      </c>
      <c r="D49" s="199">
        <v>1.35</v>
      </c>
      <c r="E49" s="40"/>
      <c r="F49" s="40"/>
      <c r="M49" s="40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K49" s="76"/>
      <c r="AL49" s="76"/>
      <c r="AM49" s="76"/>
    </row>
    <row r="50" spans="1:39" x14ac:dyDescent="0.25">
      <c r="B50" s="1" t="s">
        <v>187</v>
      </c>
      <c r="C50" s="25" t="s">
        <v>193</v>
      </c>
      <c r="D50" s="199">
        <v>1.35</v>
      </c>
      <c r="E50" s="40"/>
      <c r="F50" s="40"/>
      <c r="M50" s="40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K50" s="76"/>
      <c r="AL50" s="76"/>
      <c r="AM50" s="76"/>
    </row>
    <row r="51" spans="1:39" x14ac:dyDescent="0.25">
      <c r="B51" s="1" t="s">
        <v>188</v>
      </c>
      <c r="C51" s="25" t="s">
        <v>193</v>
      </c>
      <c r="D51" s="199">
        <v>1.35</v>
      </c>
      <c r="E51" s="40"/>
      <c r="F51" s="40"/>
      <c r="M51" s="40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K51" s="76"/>
      <c r="AL51" s="76"/>
      <c r="AM51" s="76"/>
    </row>
    <row r="52" spans="1:39" x14ac:dyDescent="0.25">
      <c r="B52" s="1" t="s">
        <v>189</v>
      </c>
      <c r="C52" s="25" t="s">
        <v>193</v>
      </c>
      <c r="D52" s="199">
        <v>1.35</v>
      </c>
      <c r="E52" s="40"/>
      <c r="F52" s="40"/>
      <c r="M52" s="40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K52" s="76"/>
      <c r="AL52" s="76"/>
      <c r="AM52" s="76"/>
    </row>
    <row r="53" spans="1:39" x14ac:dyDescent="0.25">
      <c r="B53" s="1" t="s">
        <v>190</v>
      </c>
      <c r="C53" s="25" t="s">
        <v>193</v>
      </c>
      <c r="D53" s="199">
        <v>1.35</v>
      </c>
      <c r="E53" s="40"/>
      <c r="F53" s="40"/>
      <c r="M53" s="40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K53" s="76"/>
      <c r="AL53" s="76"/>
      <c r="AM53" s="76"/>
    </row>
    <row r="54" spans="1:39" x14ac:dyDescent="0.25">
      <c r="C54" s="40"/>
      <c r="D54" s="40"/>
      <c r="E54" s="40"/>
      <c r="F54" s="40"/>
      <c r="M54" s="40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K54" s="76"/>
      <c r="AL54" s="76"/>
      <c r="AM54" s="76"/>
    </row>
    <row r="55" spans="1:39" x14ac:dyDescent="0.25">
      <c r="A55" s="25" t="s">
        <v>35</v>
      </c>
      <c r="B55" s="1" t="s">
        <v>36</v>
      </c>
      <c r="D55" s="40"/>
      <c r="E55" s="40"/>
      <c r="F55" s="40"/>
      <c r="G55" s="40"/>
      <c r="H55" s="40"/>
      <c r="I55" s="40"/>
      <c r="J55" s="40"/>
      <c r="K55" s="40"/>
      <c r="N55" s="40"/>
      <c r="O55" s="40"/>
      <c r="P55" s="40"/>
      <c r="Q55" s="40"/>
      <c r="R55" s="40"/>
      <c r="S55" s="40"/>
      <c r="T55" s="40"/>
      <c r="AK55" s="76"/>
      <c r="AL55" s="76"/>
      <c r="AM55" s="76"/>
    </row>
    <row r="56" spans="1:39" x14ac:dyDescent="0.25">
      <c r="A56" s="25" t="s">
        <v>37</v>
      </c>
      <c r="B56" s="1" t="s">
        <v>38</v>
      </c>
      <c r="D56" s="40"/>
      <c r="E56" s="40"/>
      <c r="F56" s="40"/>
      <c r="N56" s="40"/>
      <c r="O56" s="40"/>
      <c r="P56" s="40"/>
      <c r="Q56" s="40"/>
      <c r="R56" s="40"/>
      <c r="S56" s="40"/>
      <c r="T56" s="40"/>
      <c r="AK56" s="76"/>
      <c r="AL56" s="76"/>
      <c r="AM56" s="76"/>
    </row>
    <row r="57" spans="1:39" x14ac:dyDescent="0.25">
      <c r="A57" s="25" t="s">
        <v>39</v>
      </c>
      <c r="B57" s="1" t="s">
        <v>40</v>
      </c>
      <c r="D57" s="40"/>
      <c r="E57" s="40"/>
      <c r="F57" s="40"/>
      <c r="AK57" s="76"/>
      <c r="AL57" s="76"/>
      <c r="AM57" s="76"/>
    </row>
    <row r="58" spans="1:39" x14ac:dyDescent="0.25">
      <c r="A58" s="25" t="s">
        <v>41</v>
      </c>
      <c r="B58" s="1" t="s">
        <v>42</v>
      </c>
      <c r="D58" s="40"/>
      <c r="E58" s="40"/>
      <c r="F58" s="40"/>
      <c r="AK58" s="76"/>
      <c r="AL58" s="76"/>
      <c r="AM58" s="76"/>
    </row>
    <row r="59" spans="1:39" x14ac:dyDescent="0.25">
      <c r="A59" s="25" t="s">
        <v>43</v>
      </c>
      <c r="B59" s="1" t="s">
        <v>44</v>
      </c>
      <c r="D59" s="40"/>
      <c r="E59" s="40"/>
      <c r="F59" s="40"/>
      <c r="AK59" s="76"/>
      <c r="AL59" s="76"/>
      <c r="AM59" s="76"/>
    </row>
    <row r="60" spans="1:39" x14ac:dyDescent="0.25">
      <c r="A60" s="25" t="s">
        <v>45</v>
      </c>
      <c r="B60" s="1" t="s">
        <v>46</v>
      </c>
      <c r="D60" s="40"/>
      <c r="E60" s="40"/>
      <c r="F60" s="40"/>
      <c r="AK60" s="76"/>
      <c r="AL60" s="76"/>
      <c r="AM60" s="76"/>
    </row>
    <row r="61" spans="1:39" x14ac:dyDescent="0.25">
      <c r="A61" s="25"/>
      <c r="AK61" s="76"/>
      <c r="AL61" s="76"/>
      <c r="AM61" s="76"/>
    </row>
    <row r="62" spans="1:39" x14ac:dyDescent="0.25">
      <c r="A62" s="118" t="s">
        <v>47</v>
      </c>
      <c r="B62" s="1" t="s">
        <v>48</v>
      </c>
      <c r="G62" s="40"/>
      <c r="H62" s="40"/>
      <c r="I62" s="40"/>
      <c r="J62" s="40"/>
      <c r="K62" s="40"/>
      <c r="N62" s="40"/>
      <c r="O62" s="40"/>
      <c r="P62" s="40"/>
      <c r="Q62" s="40"/>
      <c r="R62" s="40"/>
      <c r="S62" s="40"/>
      <c r="T62" s="40"/>
      <c r="AK62" s="76"/>
      <c r="AL62" s="76"/>
      <c r="AM62" s="76"/>
    </row>
    <row r="63" spans="1:39" x14ac:dyDescent="0.25">
      <c r="A63" s="118" t="s">
        <v>49</v>
      </c>
      <c r="B63" s="52" t="s">
        <v>50</v>
      </c>
      <c r="AK63" s="76"/>
      <c r="AL63" s="76"/>
      <c r="AM63" s="76"/>
    </row>
    <row r="64" spans="1:39" x14ac:dyDescent="0.25">
      <c r="A64" s="25"/>
      <c r="AK64" s="76"/>
      <c r="AL64" s="76"/>
      <c r="AM64" s="76"/>
    </row>
    <row r="65" spans="1:66" x14ac:dyDescent="0.25">
      <c r="A65" s="164" t="s">
        <v>51</v>
      </c>
      <c r="B65" s="165" t="s">
        <v>52</v>
      </c>
      <c r="C65" s="166"/>
      <c r="D65" s="166"/>
      <c r="E65" s="166"/>
      <c r="F65" s="166"/>
      <c r="G65" s="166"/>
      <c r="H65" s="166"/>
      <c r="AK65" s="76"/>
      <c r="AL65" s="76"/>
      <c r="AM65" s="76"/>
    </row>
    <row r="66" spans="1:66" ht="47.25" customHeight="1" x14ac:dyDescent="0.25">
      <c r="A66" s="198" t="s">
        <v>53</v>
      </c>
      <c r="B66" s="216" t="s">
        <v>54</v>
      </c>
      <c r="C66" s="216"/>
      <c r="D66" s="216"/>
      <c r="E66" s="216"/>
      <c r="F66" s="216"/>
      <c r="G66" s="216"/>
      <c r="H66" s="216"/>
      <c r="I66" s="216"/>
      <c r="J66" s="216"/>
      <c r="K66" s="216"/>
      <c r="L66" s="216"/>
      <c r="M66" s="216"/>
      <c r="AK66" s="76"/>
      <c r="AL66" s="76"/>
      <c r="AM66" s="76"/>
    </row>
    <row r="67" spans="1:66" x14ac:dyDescent="0.25">
      <c r="A67" s="25"/>
    </row>
    <row r="68" spans="1:66" x14ac:dyDescent="0.25">
      <c r="A68" s="25" t="s">
        <v>55</v>
      </c>
      <c r="B68" s="1" t="s">
        <v>56</v>
      </c>
    </row>
    <row r="69" spans="1:66" x14ac:dyDescent="0.25">
      <c r="A69" s="25"/>
      <c r="B69" s="1" t="s">
        <v>57</v>
      </c>
    </row>
    <row r="70" spans="1:66" x14ac:dyDescent="0.25">
      <c r="A70" s="25"/>
      <c r="B70" s="1" t="s">
        <v>58</v>
      </c>
    </row>
    <row r="71" spans="1:66" x14ac:dyDescent="0.25">
      <c r="A71" s="25"/>
    </row>
    <row r="72" spans="1:66" s="80" customFormat="1" x14ac:dyDescent="0.25">
      <c r="A72" s="79" t="s">
        <v>59</v>
      </c>
      <c r="B72" s="80" t="s">
        <v>60</v>
      </c>
    </row>
    <row r="73" spans="1:66" x14ac:dyDescent="0.25">
      <c r="A73" s="25"/>
    </row>
    <row r="74" spans="1:66" x14ac:dyDescent="0.25">
      <c r="A74" s="25" t="s">
        <v>61</v>
      </c>
      <c r="B74" s="1" t="s">
        <v>62</v>
      </c>
    </row>
    <row r="75" spans="1:66" x14ac:dyDescent="0.25">
      <c r="A75" s="25"/>
    </row>
    <row r="76" spans="1:66" ht="45" customHeight="1" x14ac:dyDescent="0.25">
      <c r="B76" s="39"/>
      <c r="C76" s="217" t="s">
        <v>2</v>
      </c>
      <c r="D76" s="217"/>
      <c r="E76" s="90"/>
      <c r="F76" s="218" t="s">
        <v>3</v>
      </c>
      <c r="G76" s="218"/>
      <c r="H76" s="52"/>
      <c r="I76" s="212" t="s">
        <v>4</v>
      </c>
      <c r="J76" s="212"/>
      <c r="K76" s="52"/>
      <c r="L76" s="219" t="s">
        <v>5</v>
      </c>
      <c r="M76" s="219"/>
      <c r="N76" s="52"/>
      <c r="O76" s="219" t="s">
        <v>6</v>
      </c>
      <c r="P76" s="219"/>
      <c r="Q76" s="52"/>
      <c r="R76" s="219" t="s">
        <v>7</v>
      </c>
      <c r="S76" s="219"/>
      <c r="T76" s="52"/>
      <c r="U76" s="214" t="s">
        <v>8</v>
      </c>
      <c r="V76" s="214"/>
      <c r="W76" s="52"/>
      <c r="X76" s="211" t="s">
        <v>9</v>
      </c>
      <c r="Y76" s="211"/>
      <c r="AA76" s="215" t="s">
        <v>10</v>
      </c>
      <c r="AB76" s="215"/>
      <c r="AD76" s="211" t="s">
        <v>11</v>
      </c>
      <c r="AE76" s="211"/>
      <c r="AG76" s="211" t="s">
        <v>12</v>
      </c>
      <c r="AH76" s="211"/>
      <c r="AJ76" s="211" t="s">
        <v>13</v>
      </c>
      <c r="AK76" s="211"/>
      <c r="AM76" s="211" t="s">
        <v>14</v>
      </c>
      <c r="AN76" s="211"/>
      <c r="AP76" s="212" t="s">
        <v>15</v>
      </c>
      <c r="AQ76" s="212"/>
      <c r="AS76" s="211" t="s">
        <v>16</v>
      </c>
      <c r="AT76" s="211"/>
      <c r="AV76" s="213" t="s">
        <v>17</v>
      </c>
      <c r="AW76" s="213"/>
      <c r="AY76" s="213" t="s">
        <v>18</v>
      </c>
      <c r="AZ76" s="213"/>
      <c r="BB76" s="213" t="s">
        <v>19</v>
      </c>
      <c r="BC76" s="213"/>
    </row>
    <row r="77" spans="1:66" s="34" customFormat="1" x14ac:dyDescent="0.25">
      <c r="C77" s="54" t="s">
        <v>20</v>
      </c>
      <c r="D77" s="54" t="s">
        <v>21</v>
      </c>
      <c r="E77" s="54"/>
      <c r="F77" s="34" t="s">
        <v>20</v>
      </c>
      <c r="G77" s="54" t="s">
        <v>21</v>
      </c>
      <c r="I77" s="34" t="s">
        <v>20</v>
      </c>
      <c r="J77" s="54" t="s">
        <v>21</v>
      </c>
      <c r="L77" s="34" t="s">
        <v>20</v>
      </c>
      <c r="M77" s="54" t="s">
        <v>21</v>
      </c>
      <c r="O77" s="34" t="s">
        <v>20</v>
      </c>
      <c r="P77" s="54" t="s">
        <v>21</v>
      </c>
      <c r="R77" s="34" t="s">
        <v>20</v>
      </c>
      <c r="S77" s="54" t="s">
        <v>21</v>
      </c>
      <c r="U77" s="34" t="s">
        <v>20</v>
      </c>
      <c r="V77" s="34" t="s">
        <v>21</v>
      </c>
      <c r="X77" s="34" t="s">
        <v>20</v>
      </c>
      <c r="Y77" s="34" t="s">
        <v>21</v>
      </c>
      <c r="AA77" s="34" t="s">
        <v>20</v>
      </c>
      <c r="AB77" s="34" t="s">
        <v>21</v>
      </c>
      <c r="AD77" s="34" t="s">
        <v>20</v>
      </c>
      <c r="AE77" s="34" t="s">
        <v>21</v>
      </c>
      <c r="AG77" s="34" t="s">
        <v>20</v>
      </c>
      <c r="AH77" s="34" t="s">
        <v>21</v>
      </c>
      <c r="AJ77" s="34" t="s">
        <v>20</v>
      </c>
      <c r="AK77" s="34" t="s">
        <v>21</v>
      </c>
      <c r="AM77" s="34" t="s">
        <v>20</v>
      </c>
      <c r="AN77" s="34" t="s">
        <v>21</v>
      </c>
      <c r="AP77" s="34" t="s">
        <v>20</v>
      </c>
      <c r="AQ77" s="34" t="s">
        <v>21</v>
      </c>
      <c r="AS77" s="34" t="s">
        <v>20</v>
      </c>
      <c r="AT77" s="34" t="s">
        <v>21</v>
      </c>
      <c r="AV77" s="34" t="s">
        <v>20</v>
      </c>
      <c r="AW77" s="54" t="s">
        <v>21</v>
      </c>
      <c r="AY77" s="34" t="s">
        <v>20</v>
      </c>
      <c r="AZ77" s="54" t="s">
        <v>21</v>
      </c>
      <c r="BB77" s="34" t="s">
        <v>20</v>
      </c>
      <c r="BC77" s="54" t="s">
        <v>21</v>
      </c>
      <c r="BK77" s="1"/>
      <c r="BL77" s="1"/>
      <c r="BM77" s="1"/>
      <c r="BN77" s="1"/>
    </row>
    <row r="78" spans="1:66" x14ac:dyDescent="0.25">
      <c r="A78" s="25"/>
      <c r="C78" s="39"/>
      <c r="D78" s="39"/>
      <c r="E78" s="39"/>
      <c r="F78" s="39"/>
      <c r="G78" s="39"/>
      <c r="H78" s="39"/>
      <c r="I78" s="39"/>
      <c r="J78" s="39"/>
      <c r="K78" s="39"/>
      <c r="L78" s="39"/>
    </row>
    <row r="79" spans="1:66" s="52" customFormat="1" ht="60" customHeight="1" x14ac:dyDescent="0.25">
      <c r="A79" s="158" t="s">
        <v>63</v>
      </c>
      <c r="B79" s="157"/>
      <c r="C79" s="168">
        <v>13.86</v>
      </c>
      <c r="D79" s="168">
        <v>13.86</v>
      </c>
      <c r="E79" s="74"/>
      <c r="F79" s="74">
        <f t="shared" ref="F79:G79" si="68">C79*SUM(1+$G$1/$X$1)</f>
        <v>16.631999999999998</v>
      </c>
      <c r="G79" s="74">
        <f t="shared" si="68"/>
        <v>16.631999999999998</v>
      </c>
      <c r="H79" s="74"/>
      <c r="I79" s="74">
        <f t="shared" ref="I79:J79" si="69">F79-C79</f>
        <v>2.7719999999999985</v>
      </c>
      <c r="J79" s="74">
        <f t="shared" si="69"/>
        <v>2.7719999999999985</v>
      </c>
      <c r="K79" s="51"/>
      <c r="L79" s="160">
        <f t="shared" ref="L79:M79" si="70">ROUND(C79*(1+$G$1*2),2)*SUM(1+$M$1)</f>
        <v>18.292999999999999</v>
      </c>
      <c r="M79" s="160">
        <f t="shared" si="70"/>
        <v>18.292999999999999</v>
      </c>
      <c r="O79" s="74">
        <f t="shared" ref="O79:P79" si="71">L79-C79</f>
        <v>4.4329999999999998</v>
      </c>
      <c r="P79" s="74">
        <f t="shared" si="71"/>
        <v>4.4329999999999998</v>
      </c>
      <c r="R79" s="93">
        <f t="shared" ref="R79:S79" si="72">AJ79/F79</f>
        <v>9.9807599807599817E-2</v>
      </c>
      <c r="S79" s="93">
        <f t="shared" si="72"/>
        <v>9.9807599807599817E-2</v>
      </c>
      <c r="U79" s="74">
        <f t="shared" ref="U79:V79" si="73">SUM(C79/(1-$X$1))</f>
        <v>27.72</v>
      </c>
      <c r="V79" s="74">
        <f t="shared" si="73"/>
        <v>27.72</v>
      </c>
      <c r="X79" s="74">
        <f t="shared" ref="X79:Y79" si="74">ROUND(C79/(1-$X$1)*1.2,2)</f>
        <v>33.26</v>
      </c>
      <c r="Y79" s="74">
        <f t="shared" si="74"/>
        <v>33.26</v>
      </c>
      <c r="Z79" s="94"/>
      <c r="AA79" s="183">
        <f t="shared" ref="AA79:AB79" si="75">ROUNDDOWN(C79/(1-$X$1)*1.2,1)</f>
        <v>33.200000000000003</v>
      </c>
      <c r="AB79" s="183">
        <f t="shared" si="75"/>
        <v>33.200000000000003</v>
      </c>
      <c r="AD79" s="94">
        <f t="shared" ref="AD79:AE79" si="76">AA79/1.2</f>
        <v>27.666666666666671</v>
      </c>
      <c r="AE79" s="94">
        <f t="shared" si="76"/>
        <v>27.666666666666671</v>
      </c>
      <c r="AG79" s="94">
        <f t="shared" ref="AG79:AH79" si="77">X79-AA79</f>
        <v>5.9999999999995168E-2</v>
      </c>
      <c r="AH79" s="94">
        <f t="shared" si="77"/>
        <v>5.9999999999995168E-2</v>
      </c>
      <c r="AI79" s="94"/>
      <c r="AJ79" s="94">
        <f t="shared" ref="AJ79:AK79" si="78">ROUND(L79*(1-(1/(1+$AL$1))),2)</f>
        <v>1.66</v>
      </c>
      <c r="AK79" s="94">
        <f t="shared" si="78"/>
        <v>1.66</v>
      </c>
      <c r="AL79" s="94"/>
      <c r="AM79" s="181">
        <f t="shared" ref="AM79:AN79" si="79">SUM(U79-F79)-AG79</f>
        <v>11.028000000000006</v>
      </c>
      <c r="AN79" s="181">
        <f t="shared" si="79"/>
        <v>11.028000000000006</v>
      </c>
      <c r="AP79" s="135">
        <f t="shared" ref="AP79:AQ79" si="80">(SUM(F79-C79)/C79)/2</f>
        <v>9.999999999999995E-2</v>
      </c>
      <c r="AQ79" s="135">
        <f t="shared" si="80"/>
        <v>9.999999999999995E-2</v>
      </c>
      <c r="AS79" s="135">
        <f t="shared" ref="AS79:AT79" si="81">AM79/U79</f>
        <v>0.39783549783549804</v>
      </c>
      <c r="AT79" s="135">
        <f t="shared" si="81"/>
        <v>0.39783549783549804</v>
      </c>
      <c r="AV79" s="93">
        <f t="shared" ref="AV79:AW79" si="82">C79/U79</f>
        <v>0.5</v>
      </c>
      <c r="AW79" s="93">
        <f t="shared" si="82"/>
        <v>0.5</v>
      </c>
      <c r="AY79" s="136">
        <f t="shared" ref="AY79:AZ79" si="83">I79+AM79</f>
        <v>13.800000000000004</v>
      </c>
      <c r="AZ79" s="136">
        <f t="shared" si="83"/>
        <v>13.800000000000004</v>
      </c>
      <c r="BB79" s="93">
        <f t="shared" ref="BB79:BC79" si="84">AY79/(C79/$X$1)</f>
        <v>0.49783549783549802</v>
      </c>
      <c r="BC79" s="93">
        <f t="shared" si="84"/>
        <v>0.49783549783549802</v>
      </c>
      <c r="BK79" s="1"/>
      <c r="BL79" s="1"/>
      <c r="BM79" s="1"/>
      <c r="BN79" s="1"/>
    </row>
    <row r="80" spans="1:66" x14ac:dyDescent="0.25">
      <c r="C80" s="39"/>
      <c r="D80" s="39"/>
      <c r="E80" s="39"/>
      <c r="F80" s="39"/>
      <c r="G80" s="39"/>
      <c r="H80" s="39"/>
      <c r="I80" s="39"/>
      <c r="J80" s="39"/>
      <c r="K80" s="39"/>
      <c r="L80" s="39"/>
      <c r="BN80" s="76"/>
    </row>
    <row r="81" spans="1:13" x14ac:dyDescent="0.25">
      <c r="A81" s="48" t="s">
        <v>64</v>
      </c>
      <c r="B81" s="44" t="s">
        <v>65</v>
      </c>
      <c r="C81" s="45" t="s">
        <v>66</v>
      </c>
    </row>
    <row r="82" spans="1:13" ht="29.25" customHeight="1" x14ac:dyDescent="0.25">
      <c r="A82" s="49"/>
      <c r="B82" s="209" t="s">
        <v>67</v>
      </c>
      <c r="C82" s="210" t="s">
        <v>68</v>
      </c>
      <c r="D82" s="210"/>
      <c r="E82" s="210"/>
      <c r="F82" s="210"/>
      <c r="G82" s="210"/>
      <c r="H82" s="210"/>
      <c r="I82" s="210"/>
      <c r="J82" s="210"/>
      <c r="K82" s="210"/>
      <c r="L82" s="210"/>
      <c r="M82" s="210"/>
    </row>
    <row r="83" spans="1:13" ht="29.25" customHeight="1" x14ac:dyDescent="0.25">
      <c r="A83" s="49"/>
      <c r="B83" s="209"/>
      <c r="C83" s="210"/>
      <c r="D83" s="210"/>
      <c r="E83" s="210"/>
      <c r="F83" s="210"/>
      <c r="G83" s="210"/>
      <c r="H83" s="210"/>
      <c r="I83" s="210"/>
      <c r="J83" s="210"/>
      <c r="K83" s="210"/>
      <c r="L83" s="210"/>
      <c r="M83" s="210"/>
    </row>
    <row r="84" spans="1:13" x14ac:dyDescent="0.25">
      <c r="A84" s="25"/>
      <c r="B84" s="44" t="s">
        <v>69</v>
      </c>
      <c r="C84" s="45" t="s">
        <v>70</v>
      </c>
    </row>
    <row r="85" spans="1:13" x14ac:dyDescent="0.25">
      <c r="A85" s="25"/>
      <c r="B85" s="44" t="s">
        <v>71</v>
      </c>
      <c r="C85" s="45" t="s">
        <v>72</v>
      </c>
    </row>
    <row r="86" spans="1:13" x14ac:dyDescent="0.25">
      <c r="A86" s="25"/>
      <c r="B86" s="44"/>
      <c r="C86" s="45"/>
    </row>
    <row r="87" spans="1:13" x14ac:dyDescent="0.25">
      <c r="A87" s="25" t="s">
        <v>73</v>
      </c>
      <c r="B87" s="1" t="s">
        <v>74</v>
      </c>
      <c r="C87" s="46" t="s">
        <v>75</v>
      </c>
      <c r="L87" s="47"/>
    </row>
    <row r="88" spans="1:13" x14ac:dyDescent="0.25">
      <c r="A88" s="25"/>
      <c r="B88" s="1" t="s">
        <v>76</v>
      </c>
      <c r="C88" s="47" t="s">
        <v>77</v>
      </c>
      <c r="L88" s="47"/>
    </row>
    <row r="89" spans="1:13" x14ac:dyDescent="0.25">
      <c r="A89" s="25"/>
      <c r="B89" s="1" t="s">
        <v>78</v>
      </c>
      <c r="C89" s="47" t="s">
        <v>79</v>
      </c>
      <c r="L89" s="47"/>
    </row>
    <row r="90" spans="1:13" x14ac:dyDescent="0.25">
      <c r="A90" s="25"/>
      <c r="B90" s="1" t="s">
        <v>80</v>
      </c>
      <c r="C90" s="47" t="s">
        <v>81</v>
      </c>
      <c r="L90" s="47"/>
    </row>
    <row r="91" spans="1:13" x14ac:dyDescent="0.25">
      <c r="A91" s="25"/>
    </row>
    <row r="92" spans="1:13" x14ac:dyDescent="0.25">
      <c r="A92" s="46" t="s">
        <v>82</v>
      </c>
      <c r="B92" s="1" t="s">
        <v>83</v>
      </c>
    </row>
    <row r="94" spans="1:13" x14ac:dyDescent="0.25">
      <c r="A94" s="119" t="s">
        <v>84</v>
      </c>
    </row>
    <row r="95" spans="1:13" x14ac:dyDescent="0.25">
      <c r="B95" s="47"/>
    </row>
    <row r="96" spans="1:13" x14ac:dyDescent="0.25">
      <c r="B96" s="47"/>
    </row>
  </sheetData>
  <mergeCells count="40">
    <mergeCell ref="AM1:AN1"/>
    <mergeCell ref="C2:D2"/>
    <mergeCell ref="F2:G2"/>
    <mergeCell ref="I2:J2"/>
    <mergeCell ref="L2:M2"/>
    <mergeCell ref="O2:P2"/>
    <mergeCell ref="R2:S2"/>
    <mergeCell ref="U2:V2"/>
    <mergeCell ref="X2:Y2"/>
    <mergeCell ref="AA2:AB2"/>
    <mergeCell ref="AV2:AW2"/>
    <mergeCell ref="AY2:AZ2"/>
    <mergeCell ref="BB2:BC2"/>
    <mergeCell ref="B66:M66"/>
    <mergeCell ref="C76:D76"/>
    <mergeCell ref="F76:G76"/>
    <mergeCell ref="I76:J76"/>
    <mergeCell ref="L76:M76"/>
    <mergeCell ref="O76:P76"/>
    <mergeCell ref="R76:S76"/>
    <mergeCell ref="AD2:AE2"/>
    <mergeCell ref="AG2:AH2"/>
    <mergeCell ref="AJ2:AK2"/>
    <mergeCell ref="AM2:AN2"/>
    <mergeCell ref="AP2:AQ2"/>
    <mergeCell ref="AS2:AT2"/>
    <mergeCell ref="AV76:AW76"/>
    <mergeCell ref="AY76:AZ76"/>
    <mergeCell ref="BB76:BC76"/>
    <mergeCell ref="U76:V76"/>
    <mergeCell ref="X76:Y76"/>
    <mergeCell ref="AA76:AB76"/>
    <mergeCell ref="AD76:AE76"/>
    <mergeCell ref="AG76:AH76"/>
    <mergeCell ref="AJ76:AK76"/>
    <mergeCell ref="B82:B83"/>
    <mergeCell ref="C82:M83"/>
    <mergeCell ref="AM76:AN76"/>
    <mergeCell ref="AP76:AQ76"/>
    <mergeCell ref="AS76:AT76"/>
  </mergeCells>
  <phoneticPr fontId="16" type="noConversion"/>
  <pageMargins left="0.7" right="0.7" top="0.75" bottom="0.75" header="0.3" footer="0.3"/>
  <pageSetup orientation="portrait" horizontalDpi="4294967295" verticalDpi="4294967295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22C46-5526-4FAB-86D4-D9D3C90D1D85}">
  <sheetPr>
    <tabColor rgb="FFFF0000"/>
  </sheetPr>
  <dimension ref="A1:BE54"/>
  <sheetViews>
    <sheetView zoomScale="85" zoomScaleNormal="8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E12" sqref="E12"/>
    </sheetView>
  </sheetViews>
  <sheetFormatPr defaultColWidth="8.85546875" defaultRowHeight="15" x14ac:dyDescent="0.25"/>
  <cols>
    <col min="1" max="1" width="27" style="1" customWidth="1"/>
    <col min="2" max="2" width="8.85546875" style="1" customWidth="1"/>
    <col min="3" max="3" width="32.140625" style="1" customWidth="1"/>
    <col min="4" max="5" width="10" style="1" customWidth="1"/>
    <col min="6" max="6" width="3.7109375" style="1" customWidth="1"/>
    <col min="7" max="8" width="9.7109375" style="1" customWidth="1"/>
    <col min="9" max="9" width="3.7109375" style="1" customWidth="1"/>
    <col min="10" max="11" width="9.7109375" style="1" customWidth="1"/>
    <col min="12" max="12" width="3.7109375" style="1" customWidth="1"/>
    <col min="13" max="13" width="13" style="1" customWidth="1"/>
    <col min="14" max="14" width="11.85546875" style="1" bestFit="1" customWidth="1"/>
    <col min="15" max="15" width="3.7109375" style="1" customWidth="1"/>
    <col min="16" max="17" width="9.7109375" style="1" customWidth="1"/>
    <col min="18" max="18" width="3.7109375" style="1" customWidth="1"/>
    <col min="19" max="20" width="9.7109375" style="1" customWidth="1"/>
    <col min="21" max="21" width="5.140625" style="1" customWidth="1"/>
    <col min="22" max="22" width="12.42578125" style="1" customWidth="1"/>
    <col min="23" max="23" width="11.85546875" style="1" customWidth="1"/>
    <col min="24" max="24" width="6.140625" style="1" customWidth="1"/>
    <col min="25" max="25" width="12.42578125" style="1" customWidth="1"/>
    <col min="26" max="26" width="11.85546875" style="1" customWidth="1"/>
    <col min="27" max="27" width="3.7109375" style="1" customWidth="1"/>
    <col min="28" max="29" width="9.7109375" style="1" customWidth="1"/>
    <col min="30" max="30" width="3.7109375" style="1" customWidth="1"/>
    <col min="31" max="32" width="9.7109375" style="1" customWidth="1"/>
    <col min="33" max="33" width="3.7109375" style="1" customWidth="1"/>
    <col min="34" max="35" width="9.7109375" style="1" customWidth="1"/>
    <col min="36" max="36" width="3.7109375" style="1" customWidth="1"/>
    <col min="37" max="38" width="9.7109375" style="1" customWidth="1"/>
    <col min="39" max="39" width="3.7109375" style="1" customWidth="1"/>
    <col min="40" max="41" width="9.7109375" style="1" customWidth="1"/>
    <col min="42" max="42" width="3.7109375" style="1" customWidth="1"/>
    <col min="43" max="44" width="9.7109375" style="1" customWidth="1"/>
    <col min="45" max="45" width="3.7109375" style="1" customWidth="1"/>
    <col min="46" max="47" width="9.7109375" style="1" customWidth="1"/>
    <col min="48" max="48" width="3.7109375" style="1" customWidth="1"/>
    <col min="49" max="50" width="9.7109375" style="1" customWidth="1"/>
    <col min="51" max="51" width="3.7109375" style="1" customWidth="1"/>
    <col min="52" max="53" width="9.7109375" style="1" customWidth="1"/>
    <col min="54" max="54" width="3.7109375" style="1" customWidth="1"/>
    <col min="55" max="55" width="11.85546875" style="1" customWidth="1"/>
    <col min="56" max="56" width="10.42578125" style="1" customWidth="1"/>
    <col min="57" max="57" width="8.140625" style="1" customWidth="1"/>
    <col min="58" max="16384" width="8.85546875" style="1"/>
  </cols>
  <sheetData>
    <row r="1" spans="1:57" ht="15" customHeight="1" thickBot="1" x14ac:dyDescent="0.3">
      <c r="A1" s="184" t="s">
        <v>88</v>
      </c>
      <c r="B1" s="55"/>
      <c r="C1" s="171" t="s">
        <v>0</v>
      </c>
      <c r="D1" s="163">
        <v>0.495</v>
      </c>
      <c r="E1" s="18"/>
      <c r="F1" s="18"/>
      <c r="G1" s="194">
        <v>0.1</v>
      </c>
      <c r="H1" s="170" t="s">
        <v>1</v>
      </c>
      <c r="I1" s="18"/>
      <c r="J1" s="18"/>
      <c r="K1" s="18"/>
      <c r="L1" s="18"/>
      <c r="M1" s="92">
        <v>0.1</v>
      </c>
      <c r="N1" s="18"/>
      <c r="O1" s="18"/>
      <c r="P1" s="18"/>
      <c r="Q1" s="18"/>
      <c r="R1" s="18"/>
      <c r="S1" s="18"/>
      <c r="T1" s="18"/>
      <c r="U1" s="18"/>
      <c r="V1" s="92"/>
      <c r="W1" s="18"/>
      <c r="X1" s="92"/>
      <c r="Y1" s="91">
        <v>0.5</v>
      </c>
      <c r="Z1" s="18"/>
      <c r="AL1" s="83">
        <v>0.1</v>
      </c>
    </row>
    <row r="2" spans="1:57" ht="48" customHeight="1" x14ac:dyDescent="0.25">
      <c r="A2" s="97"/>
      <c r="D2" s="244" t="s">
        <v>128</v>
      </c>
      <c r="E2" s="244"/>
      <c r="F2" s="95"/>
      <c r="G2" s="245" t="s">
        <v>3</v>
      </c>
      <c r="H2" s="245"/>
      <c r="I2" s="18"/>
      <c r="J2" s="245" t="s">
        <v>4</v>
      </c>
      <c r="K2" s="245"/>
      <c r="L2" s="18"/>
      <c r="M2" s="219" t="s">
        <v>5</v>
      </c>
      <c r="N2" s="219"/>
      <c r="O2" s="18"/>
      <c r="P2" s="219" t="s">
        <v>6</v>
      </c>
      <c r="Q2" s="219"/>
      <c r="R2" s="18"/>
      <c r="S2" s="219" t="s">
        <v>7</v>
      </c>
      <c r="T2" s="219"/>
      <c r="U2" s="18"/>
      <c r="V2" s="214" t="s">
        <v>8</v>
      </c>
      <c r="W2" s="214"/>
      <c r="X2" s="52"/>
      <c r="Y2" s="211" t="s">
        <v>9</v>
      </c>
      <c r="Z2" s="211"/>
      <c r="AB2" s="215" t="s">
        <v>10</v>
      </c>
      <c r="AC2" s="215"/>
      <c r="AE2" s="211" t="s">
        <v>11</v>
      </c>
      <c r="AF2" s="211"/>
      <c r="AH2" s="211" t="s">
        <v>12</v>
      </c>
      <c r="AI2" s="211"/>
      <c r="AK2" s="211" t="s">
        <v>13</v>
      </c>
      <c r="AL2" s="211"/>
      <c r="AN2" s="211" t="s">
        <v>14</v>
      </c>
      <c r="AO2" s="211"/>
      <c r="AQ2" s="212" t="s">
        <v>15</v>
      </c>
      <c r="AR2" s="212"/>
      <c r="AT2" s="211" t="s">
        <v>16</v>
      </c>
      <c r="AU2" s="211"/>
      <c r="AW2" s="213" t="s">
        <v>17</v>
      </c>
      <c r="AX2" s="213"/>
      <c r="AZ2" s="213" t="s">
        <v>18</v>
      </c>
      <c r="BA2" s="213"/>
      <c r="BC2" s="213" t="s">
        <v>129</v>
      </c>
      <c r="BD2" s="213"/>
    </row>
    <row r="3" spans="1:57" s="52" customFormat="1" ht="60" customHeight="1" x14ac:dyDescent="0.25">
      <c r="A3" s="97"/>
      <c r="D3" s="195" t="s">
        <v>130</v>
      </c>
      <c r="E3" s="147" t="s">
        <v>131</v>
      </c>
      <c r="F3" s="35"/>
      <c r="G3" s="151" t="s">
        <v>130</v>
      </c>
      <c r="H3" s="152" t="s">
        <v>131</v>
      </c>
      <c r="J3" s="151" t="s">
        <v>130</v>
      </c>
      <c r="K3" s="152" t="s">
        <v>131</v>
      </c>
      <c r="M3" s="132" t="s">
        <v>130</v>
      </c>
      <c r="N3" s="133" t="s">
        <v>131</v>
      </c>
      <c r="P3" s="132" t="s">
        <v>130</v>
      </c>
      <c r="Q3" s="133" t="s">
        <v>131</v>
      </c>
      <c r="S3" s="132" t="s">
        <v>130</v>
      </c>
      <c r="T3" s="133" t="s">
        <v>131</v>
      </c>
      <c r="V3" s="96" t="s">
        <v>130</v>
      </c>
      <c r="W3" s="95" t="s">
        <v>131</v>
      </c>
      <c r="Y3" s="96" t="s">
        <v>130</v>
      </c>
      <c r="Z3" s="95" t="s">
        <v>131</v>
      </c>
      <c r="AB3" s="96" t="s">
        <v>130</v>
      </c>
      <c r="AC3" s="95" t="s">
        <v>131</v>
      </c>
      <c r="AE3" s="96" t="s">
        <v>130</v>
      </c>
      <c r="AF3" s="95" t="s">
        <v>131</v>
      </c>
      <c r="AG3" s="34"/>
      <c r="AH3" s="96" t="s">
        <v>130</v>
      </c>
      <c r="AI3" s="95" t="s">
        <v>131</v>
      </c>
      <c r="AK3" s="128" t="s">
        <v>130</v>
      </c>
      <c r="AL3" s="129" t="s">
        <v>131</v>
      </c>
      <c r="AN3" s="96" t="s">
        <v>130</v>
      </c>
      <c r="AO3" s="95" t="s">
        <v>131</v>
      </c>
      <c r="AQ3" s="196" t="s">
        <v>130</v>
      </c>
      <c r="AR3" s="142" t="s">
        <v>131</v>
      </c>
      <c r="AT3" s="197" t="s">
        <v>130</v>
      </c>
      <c r="AU3" s="129" t="s">
        <v>131</v>
      </c>
      <c r="AW3" s="96" t="s">
        <v>130</v>
      </c>
      <c r="AX3" s="95" t="s">
        <v>131</v>
      </c>
      <c r="AZ3" s="96" t="s">
        <v>130</v>
      </c>
      <c r="BA3" s="95" t="s">
        <v>131</v>
      </c>
      <c r="BC3" s="139" t="s">
        <v>130</v>
      </c>
      <c r="BD3" s="95" t="s">
        <v>131</v>
      </c>
    </row>
    <row r="4" spans="1:57" x14ac:dyDescent="0.25">
      <c r="A4" s="167" t="s">
        <v>132</v>
      </c>
      <c r="B4" s="4"/>
      <c r="D4" s="137"/>
      <c r="E4" s="148"/>
      <c r="F4" s="39"/>
      <c r="G4" s="138"/>
      <c r="H4" s="138"/>
      <c r="J4" s="154"/>
      <c r="K4" s="154"/>
      <c r="M4" s="123"/>
      <c r="N4" s="123"/>
      <c r="P4" s="123"/>
      <c r="Q4" s="123"/>
      <c r="S4" s="140"/>
      <c r="T4" s="140"/>
      <c r="V4" s="75"/>
      <c r="AK4" s="131"/>
      <c r="AL4" s="131"/>
      <c r="AQ4" s="143"/>
      <c r="AR4" s="143"/>
      <c r="AT4" s="131"/>
      <c r="AU4" s="131"/>
    </row>
    <row r="5" spans="1:57" x14ac:dyDescent="0.25">
      <c r="A5" t="s">
        <v>133</v>
      </c>
      <c r="D5" s="162">
        <f>ROUND('AMT Standard re Jan25'!D5*SUM(1+'AMT Standard from 1 Apr25'!$D$1),2)</f>
        <v>47.45</v>
      </c>
      <c r="E5" s="162">
        <f>ROUND('AMT Standard re Jan25'!E5*SUM(1+'AMT Standard from 1 Apr25'!$D$1),2)</f>
        <v>64.2</v>
      </c>
      <c r="F5" s="81"/>
      <c r="G5" s="153">
        <f t="shared" ref="G5:H8" si="0">D5*SUM(1+$G$1/$Y$1)</f>
        <v>56.940000000000005</v>
      </c>
      <c r="H5" s="153">
        <f t="shared" si="0"/>
        <v>77.040000000000006</v>
      </c>
      <c r="I5" s="83"/>
      <c r="J5" s="155">
        <f>G5-D5</f>
        <v>9.490000000000002</v>
      </c>
      <c r="K5" s="155">
        <f>H5-E5</f>
        <v>12.840000000000003</v>
      </c>
      <c r="L5" s="83"/>
      <c r="M5" s="134">
        <f>ROUND(D5*(1+$G$1*2),2)*SUM(1+$M$1)</f>
        <v>62.634</v>
      </c>
      <c r="N5" s="134">
        <f>ROUND(E5*(1+$G$1*2),2)*SUM(1+$M$1)</f>
        <v>84.744000000000014</v>
      </c>
      <c r="P5" s="134">
        <f>M5-D5</f>
        <v>15.183999999999997</v>
      </c>
      <c r="Q5" s="134">
        <f>N5-E5</f>
        <v>20.544000000000011</v>
      </c>
      <c r="S5" s="141">
        <f t="shared" ref="S5:T8" si="1">AK5/G5</f>
        <v>9.9929750614682122E-2</v>
      </c>
      <c r="T5" s="141">
        <f t="shared" si="1"/>
        <v>9.9948078920041525E-2</v>
      </c>
      <c r="V5" s="41">
        <f t="shared" ref="V5:W8" si="2">SUM(D5/(1-$Y$1))</f>
        <v>94.9</v>
      </c>
      <c r="W5" s="41">
        <f t="shared" si="2"/>
        <v>128.4</v>
      </c>
      <c r="X5" s="82"/>
      <c r="Y5" s="41">
        <f>ROUND(D5/(1-$Y$1)*1.2,2)</f>
        <v>113.88</v>
      </c>
      <c r="Z5" s="41">
        <f>ROUND(E5/(1-$Y$1)*1.2,2)</f>
        <v>154.08000000000001</v>
      </c>
      <c r="AB5" s="182">
        <f>ROUNDDOWN(D5/(1-$Y$1)*1.2,1)</f>
        <v>113.8</v>
      </c>
      <c r="AC5" s="182">
        <f>ROUNDDOWN(E5/(1-$Y$1)*1.2,1)</f>
        <v>154</v>
      </c>
      <c r="AE5" s="40">
        <f>AB5/1.2</f>
        <v>94.833333333333329</v>
      </c>
      <c r="AF5" s="40">
        <f>AC5/1.2</f>
        <v>128.33333333333334</v>
      </c>
      <c r="AH5" s="40">
        <f>Y5-AB5</f>
        <v>7.9999999999998295E-2</v>
      </c>
      <c r="AI5" s="40">
        <f>Z5-AC5</f>
        <v>8.0000000000012506E-2</v>
      </c>
      <c r="AK5" s="130">
        <f t="shared" ref="AK5:AL8" si="3">ROUND(M5*(1-(1/(1+$AL$1))),2)</f>
        <v>5.69</v>
      </c>
      <c r="AL5" s="130">
        <f t="shared" si="3"/>
        <v>7.7</v>
      </c>
      <c r="AM5" s="40"/>
      <c r="AN5" s="40">
        <f>SUM(V5-G5)-AH5</f>
        <v>37.880000000000003</v>
      </c>
      <c r="AO5" s="40">
        <f>SUM(W5-H5)-AI5</f>
        <v>51.279999999999987</v>
      </c>
      <c r="AP5" s="40"/>
      <c r="AQ5" s="144">
        <f t="shared" ref="AQ5:AR8" si="4">(SUM(G5-D5)/D5*$Y$1)</f>
        <v>0.10000000000000002</v>
      </c>
      <c r="AR5" s="144">
        <f t="shared" si="4"/>
        <v>0.10000000000000002</v>
      </c>
      <c r="AS5" s="40"/>
      <c r="AT5" s="146">
        <f t="shared" ref="AT5:AU8" si="5">AN5/V5</f>
        <v>0.39915700737618548</v>
      </c>
      <c r="AU5" s="146">
        <f t="shared" si="5"/>
        <v>0.39937694704049831</v>
      </c>
      <c r="AV5" s="40"/>
      <c r="AW5" s="76">
        <f t="shared" ref="AW5:AX8" si="6">D5/V5</f>
        <v>0.5</v>
      </c>
      <c r="AX5" s="76">
        <f t="shared" si="6"/>
        <v>0.5</v>
      </c>
      <c r="AY5" s="42"/>
      <c r="AZ5" s="42">
        <f t="shared" ref="AZ5:BA8" si="7">J5+AN5</f>
        <v>47.370000000000005</v>
      </c>
      <c r="BA5" s="42">
        <f t="shared" si="7"/>
        <v>64.11999999999999</v>
      </c>
      <c r="BB5" s="42"/>
      <c r="BC5" s="76">
        <f t="shared" ref="BC5:BD8" si="8">AZ5/(D5/$Y$1)</f>
        <v>0.49915700737618546</v>
      </c>
      <c r="BD5" s="76">
        <f t="shared" si="8"/>
        <v>0.49937694704049834</v>
      </c>
      <c r="BE5" s="42"/>
    </row>
    <row r="6" spans="1:57" x14ac:dyDescent="0.25">
      <c r="A6" t="s">
        <v>134</v>
      </c>
      <c r="D6" s="162">
        <f>ROUND('AMT Standard re Jan25'!D6*SUM(1+'AMT Standard from 1 Apr25'!$D$1),2)</f>
        <v>71.180000000000007</v>
      </c>
      <c r="E6" s="162">
        <f>ROUND('AMT Standard re Jan25'!E6*SUM(1+'AMT Standard from 1 Apr25'!$D$1),2)</f>
        <v>96.29</v>
      </c>
      <c r="F6" s="81"/>
      <c r="G6" s="153">
        <f t="shared" si="0"/>
        <v>85.416000000000011</v>
      </c>
      <c r="H6" s="153">
        <f t="shared" si="0"/>
        <v>115.548</v>
      </c>
      <c r="I6" s="83"/>
      <c r="J6" s="155">
        <f>G6-D6</f>
        <v>14.236000000000004</v>
      </c>
      <c r="K6" s="155">
        <f>H6-E6</f>
        <v>19.257999999999996</v>
      </c>
      <c r="L6" s="83"/>
      <c r="M6" s="134">
        <f t="shared" ref="M6:N8" si="9">ROUND(D6*(1+$G$1*2),2)*SUM(1+$M$1)</f>
        <v>93.962000000000003</v>
      </c>
      <c r="N6" s="134">
        <f t="shared" si="9"/>
        <v>127.105</v>
      </c>
      <c r="P6" s="134">
        <f>M6-D6</f>
        <v>22.781999999999996</v>
      </c>
      <c r="Q6" s="134">
        <f>N6-E6</f>
        <v>30.814999999999998</v>
      </c>
      <c r="S6" s="141">
        <f t="shared" si="1"/>
        <v>9.9981268146483074E-2</v>
      </c>
      <c r="T6" s="141">
        <f t="shared" si="1"/>
        <v>0.10004500294250009</v>
      </c>
      <c r="V6" s="41">
        <f t="shared" si="2"/>
        <v>142.36000000000001</v>
      </c>
      <c r="W6" s="41">
        <f t="shared" si="2"/>
        <v>192.58</v>
      </c>
      <c r="X6" s="82"/>
      <c r="Y6" s="41">
        <f t="shared" ref="Y6:Z8" si="10">ROUND(D6/(1-$Y$1)*1.2,2)</f>
        <v>170.83</v>
      </c>
      <c r="Z6" s="41">
        <f t="shared" si="10"/>
        <v>231.1</v>
      </c>
      <c r="AB6" s="182">
        <f t="shared" ref="AB6:AC8" si="11">ROUNDDOWN(D6/(1-$Y$1)*1.2,1)</f>
        <v>170.8</v>
      </c>
      <c r="AC6" s="182">
        <f t="shared" si="11"/>
        <v>231</v>
      </c>
      <c r="AE6" s="40">
        <f t="shared" ref="AE6:AF8" si="12">AB6/1.2</f>
        <v>142.33333333333334</v>
      </c>
      <c r="AF6" s="40">
        <f t="shared" si="12"/>
        <v>192.5</v>
      </c>
      <c r="AH6" s="40">
        <f t="shared" ref="AH6:AI8" si="13">Y6-AB6</f>
        <v>3.0000000000001137E-2</v>
      </c>
      <c r="AI6" s="40">
        <f t="shared" si="13"/>
        <v>9.9999999999994316E-2</v>
      </c>
      <c r="AK6" s="130">
        <f t="shared" si="3"/>
        <v>8.5399999999999991</v>
      </c>
      <c r="AL6" s="130">
        <f t="shared" si="3"/>
        <v>11.56</v>
      </c>
      <c r="AM6" s="40"/>
      <c r="AN6" s="40">
        <f t="shared" ref="AN6:AN8" si="14">SUM(V6-G6)-AH6</f>
        <v>56.914000000000001</v>
      </c>
      <c r="AO6" s="40">
        <f t="shared" ref="AO6:AO8" si="15">SUM(W6-H6)-AI6</f>
        <v>76.932000000000016</v>
      </c>
      <c r="AP6" s="40"/>
      <c r="AQ6" s="144">
        <f t="shared" si="4"/>
        <v>0.10000000000000002</v>
      </c>
      <c r="AR6" s="144">
        <f t="shared" si="4"/>
        <v>9.9999999999999964E-2</v>
      </c>
      <c r="AS6" s="40"/>
      <c r="AT6" s="146">
        <f t="shared" si="5"/>
        <v>0.39978926664793479</v>
      </c>
      <c r="AU6" s="146">
        <f t="shared" si="5"/>
        <v>0.3994807352788452</v>
      </c>
      <c r="AV6" s="40"/>
      <c r="AW6" s="76">
        <f t="shared" si="6"/>
        <v>0.5</v>
      </c>
      <c r="AX6" s="76">
        <f t="shared" si="6"/>
        <v>0.5</v>
      </c>
      <c r="AY6" s="42"/>
      <c r="AZ6" s="42">
        <f t="shared" si="7"/>
        <v>71.150000000000006</v>
      </c>
      <c r="BA6" s="42">
        <f t="shared" si="7"/>
        <v>96.190000000000012</v>
      </c>
      <c r="BB6" s="42"/>
      <c r="BC6" s="76">
        <f t="shared" si="8"/>
        <v>0.49978926664793483</v>
      </c>
      <c r="BD6" s="76">
        <f t="shared" si="8"/>
        <v>0.49948073527884518</v>
      </c>
      <c r="BE6" s="42"/>
    </row>
    <row r="7" spans="1:57" x14ac:dyDescent="0.25">
      <c r="A7" t="s">
        <v>135</v>
      </c>
      <c r="D7" s="162">
        <f>ROUND('AMT Standard re Jan25'!D7*SUM(1+'AMT Standard from 1 Apr25'!$D$1),2)</f>
        <v>79.61</v>
      </c>
      <c r="E7" s="162">
        <f>ROUND('AMT Standard re Jan25'!E7*SUM(1+'AMT Standard from 1 Apr25'!$D$1),2)</f>
        <v>110.24</v>
      </c>
      <c r="F7" s="81"/>
      <c r="G7" s="153">
        <f t="shared" si="0"/>
        <v>95.531999999999996</v>
      </c>
      <c r="H7" s="153">
        <f t="shared" si="0"/>
        <v>132.28799999999998</v>
      </c>
      <c r="J7" s="155">
        <f t="shared" ref="J7:K8" si="16">G7-D7</f>
        <v>15.921999999999997</v>
      </c>
      <c r="K7" s="155">
        <f t="shared" si="16"/>
        <v>22.047999999999988</v>
      </c>
      <c r="M7" s="134">
        <f t="shared" si="9"/>
        <v>105.08300000000001</v>
      </c>
      <c r="N7" s="134">
        <f t="shared" si="9"/>
        <v>145.51900000000001</v>
      </c>
      <c r="P7" s="134">
        <f t="shared" ref="P7:Q8" si="17">M7-D7</f>
        <v>25.473000000000013</v>
      </c>
      <c r="Q7" s="134">
        <f t="shared" si="17"/>
        <v>35.279000000000011</v>
      </c>
      <c r="S7" s="141">
        <f t="shared" si="1"/>
        <v>9.9966503370598342E-2</v>
      </c>
      <c r="T7" s="141">
        <f t="shared" si="1"/>
        <v>0.1000090711175617</v>
      </c>
      <c r="V7" s="41">
        <f t="shared" si="2"/>
        <v>159.22</v>
      </c>
      <c r="W7" s="41">
        <f t="shared" si="2"/>
        <v>220.48</v>
      </c>
      <c r="Y7" s="41">
        <f t="shared" si="10"/>
        <v>191.06</v>
      </c>
      <c r="Z7" s="41">
        <f t="shared" si="10"/>
        <v>264.58</v>
      </c>
      <c r="AB7" s="182">
        <f t="shared" si="11"/>
        <v>191</v>
      </c>
      <c r="AC7" s="182">
        <f t="shared" si="11"/>
        <v>264.5</v>
      </c>
      <c r="AE7" s="40">
        <f t="shared" si="12"/>
        <v>159.16666666666669</v>
      </c>
      <c r="AF7" s="40">
        <f t="shared" si="12"/>
        <v>220.41666666666669</v>
      </c>
      <c r="AH7" s="40">
        <f t="shared" si="13"/>
        <v>6.0000000000002274E-2</v>
      </c>
      <c r="AI7" s="40">
        <f t="shared" si="13"/>
        <v>7.9999999999984084E-2</v>
      </c>
      <c r="AK7" s="130">
        <f t="shared" si="3"/>
        <v>9.5500000000000007</v>
      </c>
      <c r="AL7" s="130">
        <f t="shared" si="3"/>
        <v>13.23</v>
      </c>
      <c r="AM7" s="40"/>
      <c r="AN7" s="40">
        <f t="shared" si="14"/>
        <v>63.628</v>
      </c>
      <c r="AO7" s="40">
        <f t="shared" si="15"/>
        <v>88.112000000000023</v>
      </c>
      <c r="AP7" s="40"/>
      <c r="AQ7" s="144">
        <f t="shared" si="4"/>
        <v>9.9999999999999978E-2</v>
      </c>
      <c r="AR7" s="144">
        <f t="shared" si="4"/>
        <v>9.999999999999995E-2</v>
      </c>
      <c r="AS7" s="40"/>
      <c r="AT7" s="146">
        <f t="shared" si="5"/>
        <v>0.39962316291923128</v>
      </c>
      <c r="AU7" s="146">
        <f t="shared" si="5"/>
        <v>0.3996371552975328</v>
      </c>
      <c r="AV7" s="40"/>
      <c r="AW7" s="76">
        <f t="shared" si="6"/>
        <v>0.5</v>
      </c>
      <c r="AX7" s="76">
        <f t="shared" si="6"/>
        <v>0.5</v>
      </c>
      <c r="AY7" s="42"/>
      <c r="AZ7" s="42">
        <f t="shared" si="7"/>
        <v>79.55</v>
      </c>
      <c r="BA7" s="42">
        <f t="shared" si="7"/>
        <v>110.16000000000001</v>
      </c>
      <c r="BB7" s="42"/>
      <c r="BC7" s="76">
        <f t="shared" si="8"/>
        <v>0.49962316291923126</v>
      </c>
      <c r="BD7" s="76">
        <f t="shared" si="8"/>
        <v>0.49963715529753272</v>
      </c>
      <c r="BE7" s="42"/>
    </row>
    <row r="8" spans="1:57" x14ac:dyDescent="0.25">
      <c r="A8" t="s">
        <v>136</v>
      </c>
      <c r="D8" s="162">
        <f>ROUND('AMT Standard re Jan25'!D8*SUM(1+'AMT Standard from 1 Apr25'!$D$1),2)</f>
        <v>82.99</v>
      </c>
      <c r="E8" s="162">
        <f>ROUND('AMT Standard re Jan25'!E8*SUM(1+'AMT Standard from 1 Apr25'!$D$1),2)</f>
        <v>113.66</v>
      </c>
      <c r="F8" s="81"/>
      <c r="G8" s="153">
        <f t="shared" si="0"/>
        <v>99.587999999999994</v>
      </c>
      <c r="H8" s="153">
        <f t="shared" si="0"/>
        <v>136.392</v>
      </c>
      <c r="J8" s="155">
        <f t="shared" si="16"/>
        <v>16.597999999999999</v>
      </c>
      <c r="K8" s="155">
        <f t="shared" si="16"/>
        <v>22.731999999999999</v>
      </c>
      <c r="M8" s="134">
        <f t="shared" si="9"/>
        <v>109.54900000000001</v>
      </c>
      <c r="N8" s="134">
        <f t="shared" si="9"/>
        <v>150.029</v>
      </c>
      <c r="P8" s="134">
        <f t="shared" si="17"/>
        <v>26.559000000000012</v>
      </c>
      <c r="Q8" s="134">
        <f t="shared" si="17"/>
        <v>36.369</v>
      </c>
      <c r="S8" s="141">
        <f t="shared" si="1"/>
        <v>0.1000120496445355</v>
      </c>
      <c r="T8" s="141">
        <f t="shared" si="1"/>
        <v>0.10000586544665377</v>
      </c>
      <c r="V8" s="41">
        <f t="shared" si="2"/>
        <v>165.98</v>
      </c>
      <c r="W8" s="41">
        <f t="shared" si="2"/>
        <v>227.32</v>
      </c>
      <c r="Y8" s="41">
        <f t="shared" si="10"/>
        <v>199.18</v>
      </c>
      <c r="Z8" s="41">
        <f t="shared" si="10"/>
        <v>272.77999999999997</v>
      </c>
      <c r="AB8" s="182">
        <f t="shared" si="11"/>
        <v>199.1</v>
      </c>
      <c r="AC8" s="182">
        <f t="shared" si="11"/>
        <v>272.7</v>
      </c>
      <c r="AE8" s="40">
        <f t="shared" si="12"/>
        <v>165.91666666666666</v>
      </c>
      <c r="AF8" s="40">
        <f t="shared" si="12"/>
        <v>227.25</v>
      </c>
      <c r="AH8" s="40">
        <f t="shared" si="13"/>
        <v>8.0000000000012506E-2</v>
      </c>
      <c r="AI8" s="40">
        <f t="shared" si="13"/>
        <v>7.9999999999984084E-2</v>
      </c>
      <c r="AK8" s="130">
        <f t="shared" si="3"/>
        <v>9.9600000000000009</v>
      </c>
      <c r="AL8" s="130">
        <f t="shared" si="3"/>
        <v>13.64</v>
      </c>
      <c r="AM8" s="40"/>
      <c r="AN8" s="40">
        <f t="shared" si="14"/>
        <v>66.311999999999983</v>
      </c>
      <c r="AO8" s="40">
        <f t="shared" si="15"/>
        <v>90.848000000000013</v>
      </c>
      <c r="AP8" s="40"/>
      <c r="AQ8" s="144">
        <f t="shared" si="4"/>
        <v>0.1</v>
      </c>
      <c r="AR8" s="144">
        <f t="shared" si="4"/>
        <v>0.1</v>
      </c>
      <c r="AS8" s="40"/>
      <c r="AT8" s="146">
        <f t="shared" si="5"/>
        <v>0.39951801421858046</v>
      </c>
      <c r="AU8" s="146">
        <f t="shared" si="5"/>
        <v>0.39964807320077433</v>
      </c>
      <c r="AV8" s="40"/>
      <c r="AW8" s="76">
        <f t="shared" si="6"/>
        <v>0.5</v>
      </c>
      <c r="AX8" s="76">
        <f t="shared" si="6"/>
        <v>0.5</v>
      </c>
      <c r="AY8" s="42"/>
      <c r="AZ8" s="42">
        <f t="shared" si="7"/>
        <v>82.909999999999982</v>
      </c>
      <c r="BA8" s="42">
        <f t="shared" si="7"/>
        <v>113.58000000000001</v>
      </c>
      <c r="BB8" s="42"/>
      <c r="BC8" s="76">
        <f t="shared" si="8"/>
        <v>0.4995180142185805</v>
      </c>
      <c r="BD8" s="76">
        <f t="shared" si="8"/>
        <v>0.49964807320077431</v>
      </c>
      <c r="BE8" s="42"/>
    </row>
    <row r="9" spans="1:57" x14ac:dyDescent="0.25">
      <c r="A9"/>
      <c r="D9" s="162"/>
      <c r="E9" s="162"/>
      <c r="F9" s="41"/>
      <c r="G9" s="153"/>
      <c r="H9" s="153"/>
      <c r="I9" s="75"/>
      <c r="J9" s="156"/>
      <c r="K9" s="156"/>
      <c r="L9" s="75"/>
      <c r="M9" s="134"/>
      <c r="N9" s="134"/>
      <c r="P9" s="134"/>
      <c r="Q9" s="134"/>
      <c r="S9" s="140"/>
      <c r="T9" s="140"/>
      <c r="V9" s="40"/>
      <c r="W9" s="40"/>
      <c r="Y9" s="41"/>
      <c r="Z9" s="41"/>
      <c r="AK9" s="130"/>
      <c r="AL9" s="130"/>
      <c r="AM9" s="40"/>
      <c r="AN9" s="40"/>
      <c r="AO9" s="40"/>
      <c r="AP9" s="40"/>
      <c r="AQ9" s="145"/>
      <c r="AR9" s="145"/>
      <c r="AS9" s="40"/>
      <c r="AT9" s="146"/>
      <c r="AU9" s="146"/>
      <c r="AV9" s="40"/>
      <c r="AW9" s="76"/>
      <c r="AX9" s="76"/>
      <c r="AY9" s="42"/>
      <c r="AZ9" s="42"/>
      <c r="BA9" s="42"/>
      <c r="BB9" s="42"/>
      <c r="BC9" s="76"/>
      <c r="BD9" s="76"/>
      <c r="BE9" s="42"/>
    </row>
    <row r="10" spans="1:57" x14ac:dyDescent="0.25">
      <c r="A10" s="167" t="s">
        <v>137</v>
      </c>
      <c r="B10" s="4"/>
      <c r="D10" s="162"/>
      <c r="E10" s="162"/>
      <c r="F10" s="41"/>
      <c r="G10" s="153"/>
      <c r="H10" s="153"/>
      <c r="J10" s="154"/>
      <c r="K10" s="154"/>
      <c r="M10" s="134"/>
      <c r="N10" s="134"/>
      <c r="P10" s="134"/>
      <c r="Q10" s="134"/>
      <c r="S10" s="140"/>
      <c r="T10" s="140"/>
      <c r="V10" s="40"/>
      <c r="W10" s="40"/>
      <c r="Y10" s="41"/>
      <c r="Z10" s="41"/>
      <c r="AK10" s="130"/>
      <c r="AL10" s="130"/>
      <c r="AM10" s="40"/>
      <c r="AN10" s="40"/>
      <c r="AO10" s="40"/>
      <c r="AP10" s="40"/>
      <c r="AQ10" s="145"/>
      <c r="AR10" s="145"/>
      <c r="AS10" s="40"/>
      <c r="AT10" s="146"/>
      <c r="AU10" s="146"/>
      <c r="AV10" s="40"/>
      <c r="AW10" s="76"/>
      <c r="AX10" s="76"/>
      <c r="AY10" s="42"/>
      <c r="AZ10" s="42"/>
      <c r="BA10" s="42"/>
      <c r="BB10" s="42"/>
      <c r="BC10" s="76"/>
      <c r="BD10" s="76"/>
      <c r="BE10" s="42"/>
    </row>
    <row r="11" spans="1:57" x14ac:dyDescent="0.25">
      <c r="A11" t="s">
        <v>133</v>
      </c>
      <c r="D11" s="162">
        <f>ROUND('AMT Standard re Jan25'!D11*SUM(1+'AMT Standard from 1 Apr25'!$D$1),2)</f>
        <v>47.45</v>
      </c>
      <c r="E11" s="162">
        <f>ROUND('AMT Standard re Jan25'!E11*SUM(1+'AMT Standard from 1 Apr25'!$D$1),2)</f>
        <v>64.2</v>
      </c>
      <c r="F11" s="81"/>
      <c r="G11" s="153">
        <f t="shared" ref="G11:H14" si="18">D11*SUM(1+$G$1/$Y$1)</f>
        <v>56.940000000000005</v>
      </c>
      <c r="H11" s="153">
        <f t="shared" si="18"/>
        <v>77.040000000000006</v>
      </c>
      <c r="J11" s="155">
        <f t="shared" ref="J11:K14" si="19">G11-D11</f>
        <v>9.490000000000002</v>
      </c>
      <c r="K11" s="155">
        <f t="shared" si="19"/>
        <v>12.840000000000003</v>
      </c>
      <c r="M11" s="134">
        <f>ROUND(D11*(1+$G$1*2),2)*SUM(1+$M$1)</f>
        <v>62.634</v>
      </c>
      <c r="N11" s="134">
        <f>ROUND(E11*(1+$G$1*2),2)*SUM(1+$M$1)</f>
        <v>84.744000000000014</v>
      </c>
      <c r="P11" s="134">
        <f t="shared" ref="P11:Q14" si="20">M11-D11</f>
        <v>15.183999999999997</v>
      </c>
      <c r="Q11" s="134">
        <f t="shared" si="20"/>
        <v>20.544000000000011</v>
      </c>
      <c r="S11" s="141">
        <f t="shared" ref="S11:T14" si="21">AK11/G11</f>
        <v>9.9929750614682122E-2</v>
      </c>
      <c r="T11" s="141">
        <f t="shared" si="21"/>
        <v>9.9948078920041525E-2</v>
      </c>
      <c r="V11" s="41">
        <f t="shared" ref="V11:W14" si="22">SUM(D11/(1-$Y$1))</f>
        <v>94.9</v>
      </c>
      <c r="W11" s="41">
        <f t="shared" si="22"/>
        <v>128.4</v>
      </c>
      <c r="Y11" s="41">
        <f>ROUND(D11/(1-$Y$1)*1.2,2)</f>
        <v>113.88</v>
      </c>
      <c r="Z11" s="41">
        <f>ROUND(E11/(1-$Y$1)*1.2,2)</f>
        <v>154.08000000000001</v>
      </c>
      <c r="AB11" s="182">
        <f t="shared" ref="AB11:AC14" si="23">ROUNDDOWN(D11/(1-$Y$1)*1.2,1)</f>
        <v>113.8</v>
      </c>
      <c r="AC11" s="182">
        <f t="shared" si="23"/>
        <v>154</v>
      </c>
      <c r="AE11" s="40">
        <f t="shared" ref="AE11:AF14" si="24">AB11/1.2</f>
        <v>94.833333333333329</v>
      </c>
      <c r="AF11" s="40">
        <f t="shared" si="24"/>
        <v>128.33333333333334</v>
      </c>
      <c r="AH11" s="40">
        <f t="shared" ref="AH11:AI14" si="25">Y11-AB11</f>
        <v>7.9999999999998295E-2</v>
      </c>
      <c r="AI11" s="40">
        <f t="shared" si="25"/>
        <v>8.0000000000012506E-2</v>
      </c>
      <c r="AK11" s="130">
        <f t="shared" ref="AK11:AL14" si="26">ROUND(M11*(1-(1/(1+$AL$1))),2)</f>
        <v>5.69</v>
      </c>
      <c r="AL11" s="130">
        <f t="shared" si="26"/>
        <v>7.7</v>
      </c>
      <c r="AM11" s="40"/>
      <c r="AN11" s="40">
        <f t="shared" ref="AN11:AN14" si="27">SUM(V11-G11)-AH11</f>
        <v>37.880000000000003</v>
      </c>
      <c r="AO11" s="40">
        <f t="shared" ref="AO11:AO14" si="28">SUM(W11-H11)-AI11</f>
        <v>51.279999999999987</v>
      </c>
      <c r="AP11" s="40"/>
      <c r="AQ11" s="144">
        <f t="shared" ref="AQ11:AR14" si="29">(SUM(G11-D11)/D11*$Y$1)</f>
        <v>0.10000000000000002</v>
      </c>
      <c r="AR11" s="144">
        <f t="shared" si="29"/>
        <v>0.10000000000000002</v>
      </c>
      <c r="AS11" s="40"/>
      <c r="AT11" s="146">
        <f t="shared" ref="AT11:AU14" si="30">AN11/V11</f>
        <v>0.39915700737618548</v>
      </c>
      <c r="AU11" s="146">
        <f t="shared" si="30"/>
        <v>0.39937694704049831</v>
      </c>
      <c r="AV11" s="40"/>
      <c r="AW11" s="76">
        <f t="shared" ref="AW11:AX14" si="31">D11/V11</f>
        <v>0.5</v>
      </c>
      <c r="AX11" s="76">
        <f t="shared" si="31"/>
        <v>0.5</v>
      </c>
      <c r="AY11" s="42"/>
      <c r="AZ11" s="42">
        <f t="shared" ref="AZ11:BA14" si="32">J11+AN11</f>
        <v>47.370000000000005</v>
      </c>
      <c r="BA11" s="42">
        <f t="shared" si="32"/>
        <v>64.11999999999999</v>
      </c>
      <c r="BB11" s="42"/>
      <c r="BC11" s="76">
        <f t="shared" ref="BC11:BD14" si="33">AZ11/(D11/$Y$1)</f>
        <v>0.49915700737618546</v>
      </c>
      <c r="BD11" s="76">
        <f t="shared" si="33"/>
        <v>0.49937694704049834</v>
      </c>
      <c r="BE11" s="42"/>
    </row>
    <row r="12" spans="1:57" x14ac:dyDescent="0.25">
      <c r="A12" t="s">
        <v>134</v>
      </c>
      <c r="D12" s="162">
        <f>ROUND('AMT Standard re Jan25'!D12*SUM(1+'AMT Standard from 1 Apr25'!$D$1),2)</f>
        <v>71.180000000000007</v>
      </c>
      <c r="E12" s="162">
        <f>ROUND('AMT Standard re Jan25'!E12*SUM(1+'AMT Standard from 1 Apr25'!$D$1),2)</f>
        <v>96.29</v>
      </c>
      <c r="F12" s="81"/>
      <c r="G12" s="153">
        <f t="shared" si="18"/>
        <v>85.416000000000011</v>
      </c>
      <c r="H12" s="153">
        <f t="shared" si="18"/>
        <v>115.548</v>
      </c>
      <c r="J12" s="155">
        <f t="shared" si="19"/>
        <v>14.236000000000004</v>
      </c>
      <c r="K12" s="155">
        <f t="shared" si="19"/>
        <v>19.257999999999996</v>
      </c>
      <c r="M12" s="134">
        <f>ROUND(D12*(1+$G$1*2),2)*SUM(1+$M$1)</f>
        <v>93.962000000000003</v>
      </c>
      <c r="N12" s="134">
        <f t="shared" ref="M12:N14" si="34">ROUND(E12*(1+$G$1*2),2)*SUM(1+$M$1)</f>
        <v>127.105</v>
      </c>
      <c r="P12" s="134">
        <f t="shared" si="20"/>
        <v>22.781999999999996</v>
      </c>
      <c r="Q12" s="134">
        <f t="shared" si="20"/>
        <v>30.814999999999998</v>
      </c>
      <c r="S12" s="141">
        <f t="shared" si="21"/>
        <v>9.9981268146483074E-2</v>
      </c>
      <c r="T12" s="141">
        <f t="shared" si="21"/>
        <v>0.10004500294250009</v>
      </c>
      <c r="V12" s="41">
        <f t="shared" si="22"/>
        <v>142.36000000000001</v>
      </c>
      <c r="W12" s="41">
        <f t="shared" si="22"/>
        <v>192.58</v>
      </c>
      <c r="Y12" s="41">
        <f t="shared" ref="Y12:Z14" si="35">ROUND(D12/(1-$Y$1)*1.2,2)</f>
        <v>170.83</v>
      </c>
      <c r="Z12" s="41">
        <f t="shared" si="35"/>
        <v>231.1</v>
      </c>
      <c r="AB12" s="182">
        <f t="shared" si="23"/>
        <v>170.8</v>
      </c>
      <c r="AC12" s="182">
        <f t="shared" si="23"/>
        <v>231</v>
      </c>
      <c r="AE12" s="40">
        <f t="shared" si="24"/>
        <v>142.33333333333334</v>
      </c>
      <c r="AF12" s="40">
        <f t="shared" si="24"/>
        <v>192.5</v>
      </c>
      <c r="AH12" s="40">
        <f t="shared" si="25"/>
        <v>3.0000000000001137E-2</v>
      </c>
      <c r="AI12" s="40">
        <f t="shared" si="25"/>
        <v>9.9999999999994316E-2</v>
      </c>
      <c r="AK12" s="130">
        <f t="shared" si="26"/>
        <v>8.5399999999999991</v>
      </c>
      <c r="AL12" s="130">
        <f t="shared" si="26"/>
        <v>11.56</v>
      </c>
      <c r="AM12" s="40"/>
      <c r="AN12" s="40">
        <f t="shared" si="27"/>
        <v>56.914000000000001</v>
      </c>
      <c r="AO12" s="40">
        <f t="shared" si="28"/>
        <v>76.932000000000016</v>
      </c>
      <c r="AP12" s="40"/>
      <c r="AQ12" s="144">
        <f t="shared" si="29"/>
        <v>0.10000000000000002</v>
      </c>
      <c r="AR12" s="144">
        <f t="shared" si="29"/>
        <v>9.9999999999999964E-2</v>
      </c>
      <c r="AS12" s="40"/>
      <c r="AT12" s="146">
        <f t="shared" si="30"/>
        <v>0.39978926664793479</v>
      </c>
      <c r="AU12" s="146">
        <f t="shared" si="30"/>
        <v>0.3994807352788452</v>
      </c>
      <c r="AV12" s="40"/>
      <c r="AW12" s="76">
        <f t="shared" si="31"/>
        <v>0.5</v>
      </c>
      <c r="AX12" s="76">
        <f t="shared" si="31"/>
        <v>0.5</v>
      </c>
      <c r="AY12" s="42"/>
      <c r="AZ12" s="42">
        <f t="shared" si="32"/>
        <v>71.150000000000006</v>
      </c>
      <c r="BA12" s="42">
        <f t="shared" si="32"/>
        <v>96.190000000000012</v>
      </c>
      <c r="BB12" s="42"/>
      <c r="BC12" s="76">
        <f t="shared" si="33"/>
        <v>0.49978926664793483</v>
      </c>
      <c r="BD12" s="76">
        <f t="shared" si="33"/>
        <v>0.49948073527884518</v>
      </c>
      <c r="BE12" s="42"/>
    </row>
    <row r="13" spans="1:57" x14ac:dyDescent="0.25">
      <c r="A13" t="s">
        <v>135</v>
      </c>
      <c r="D13" s="162">
        <f>ROUND('AMT Standard re Jan25'!D13*SUM(1+'AMT Standard from 1 Apr25'!$D$1),2)</f>
        <v>79.61</v>
      </c>
      <c r="E13" s="162">
        <f>ROUND('AMT Standard re Jan25'!E13*SUM(1+'AMT Standard from 1 Apr25'!$D$1),2)</f>
        <v>110.24</v>
      </c>
      <c r="F13" s="81"/>
      <c r="G13" s="153">
        <f t="shared" si="18"/>
        <v>95.531999999999996</v>
      </c>
      <c r="H13" s="153">
        <f t="shared" si="18"/>
        <v>132.28799999999998</v>
      </c>
      <c r="J13" s="155">
        <f t="shared" si="19"/>
        <v>15.921999999999997</v>
      </c>
      <c r="K13" s="155">
        <f t="shared" si="19"/>
        <v>22.047999999999988</v>
      </c>
      <c r="M13" s="134">
        <f t="shared" si="34"/>
        <v>105.08300000000001</v>
      </c>
      <c r="N13" s="134">
        <f t="shared" si="34"/>
        <v>145.51900000000001</v>
      </c>
      <c r="P13" s="134">
        <f t="shared" si="20"/>
        <v>25.473000000000013</v>
      </c>
      <c r="Q13" s="134">
        <f t="shared" si="20"/>
        <v>35.279000000000011</v>
      </c>
      <c r="S13" s="141">
        <f t="shared" si="21"/>
        <v>9.9966503370598342E-2</v>
      </c>
      <c r="T13" s="141">
        <f t="shared" si="21"/>
        <v>0.1000090711175617</v>
      </c>
      <c r="V13" s="41">
        <f t="shared" si="22"/>
        <v>159.22</v>
      </c>
      <c r="W13" s="41">
        <f t="shared" si="22"/>
        <v>220.48</v>
      </c>
      <c r="Y13" s="41">
        <f t="shared" si="35"/>
        <v>191.06</v>
      </c>
      <c r="Z13" s="41">
        <f t="shared" si="35"/>
        <v>264.58</v>
      </c>
      <c r="AB13" s="182">
        <f t="shared" si="23"/>
        <v>191</v>
      </c>
      <c r="AC13" s="182">
        <f t="shared" si="23"/>
        <v>264.5</v>
      </c>
      <c r="AE13" s="40">
        <f t="shared" si="24"/>
        <v>159.16666666666669</v>
      </c>
      <c r="AF13" s="40">
        <f t="shared" si="24"/>
        <v>220.41666666666669</v>
      </c>
      <c r="AH13" s="40">
        <f t="shared" si="25"/>
        <v>6.0000000000002274E-2</v>
      </c>
      <c r="AI13" s="40">
        <f t="shared" si="25"/>
        <v>7.9999999999984084E-2</v>
      </c>
      <c r="AK13" s="130">
        <f t="shared" si="26"/>
        <v>9.5500000000000007</v>
      </c>
      <c r="AL13" s="130">
        <f t="shared" si="26"/>
        <v>13.23</v>
      </c>
      <c r="AM13" s="40"/>
      <c r="AN13" s="40">
        <f t="shared" si="27"/>
        <v>63.628</v>
      </c>
      <c r="AO13" s="40">
        <f t="shared" si="28"/>
        <v>88.112000000000023</v>
      </c>
      <c r="AP13" s="40"/>
      <c r="AQ13" s="144">
        <f t="shared" si="29"/>
        <v>9.9999999999999978E-2</v>
      </c>
      <c r="AR13" s="144">
        <f t="shared" si="29"/>
        <v>9.999999999999995E-2</v>
      </c>
      <c r="AS13" s="40"/>
      <c r="AT13" s="146">
        <f t="shared" si="30"/>
        <v>0.39962316291923128</v>
      </c>
      <c r="AU13" s="146">
        <f t="shared" si="30"/>
        <v>0.3996371552975328</v>
      </c>
      <c r="AV13" s="40"/>
      <c r="AW13" s="76">
        <f t="shared" si="31"/>
        <v>0.5</v>
      </c>
      <c r="AX13" s="76">
        <f t="shared" si="31"/>
        <v>0.5</v>
      </c>
      <c r="AY13" s="42"/>
      <c r="AZ13" s="42">
        <f t="shared" si="32"/>
        <v>79.55</v>
      </c>
      <c r="BA13" s="42">
        <f t="shared" si="32"/>
        <v>110.16000000000001</v>
      </c>
      <c r="BB13" s="42"/>
      <c r="BC13" s="76">
        <f t="shared" si="33"/>
        <v>0.49962316291923126</v>
      </c>
      <c r="BD13" s="76">
        <f t="shared" si="33"/>
        <v>0.49963715529753272</v>
      </c>
      <c r="BE13" s="42"/>
    </row>
    <row r="14" spans="1:57" x14ac:dyDescent="0.25">
      <c r="A14" t="s">
        <v>136</v>
      </c>
      <c r="D14" s="162">
        <f>ROUND('AMT Standard re Jan25'!D14*SUM(1+'AMT Standard from 1 Apr25'!$D$1),2)</f>
        <v>82.99</v>
      </c>
      <c r="E14" s="162">
        <f>ROUND('AMT Standard re Jan25'!E14*SUM(1+'AMT Standard from 1 Apr25'!$D$1),2)</f>
        <v>113.66</v>
      </c>
      <c r="F14" s="81"/>
      <c r="G14" s="153">
        <f t="shared" si="18"/>
        <v>99.587999999999994</v>
      </c>
      <c r="H14" s="153">
        <f t="shared" si="18"/>
        <v>136.392</v>
      </c>
      <c r="J14" s="155">
        <f t="shared" si="19"/>
        <v>16.597999999999999</v>
      </c>
      <c r="K14" s="155">
        <f t="shared" si="19"/>
        <v>22.731999999999999</v>
      </c>
      <c r="M14" s="134">
        <f t="shared" si="34"/>
        <v>109.54900000000001</v>
      </c>
      <c r="N14" s="134">
        <f t="shared" si="34"/>
        <v>150.029</v>
      </c>
      <c r="P14" s="134">
        <f t="shared" si="20"/>
        <v>26.559000000000012</v>
      </c>
      <c r="Q14" s="134">
        <f t="shared" si="20"/>
        <v>36.369</v>
      </c>
      <c r="S14" s="141">
        <f t="shared" si="21"/>
        <v>0.1000120496445355</v>
      </c>
      <c r="T14" s="141">
        <f t="shared" si="21"/>
        <v>0.10000586544665377</v>
      </c>
      <c r="V14" s="41">
        <f t="shared" si="22"/>
        <v>165.98</v>
      </c>
      <c r="W14" s="41">
        <f t="shared" si="22"/>
        <v>227.32</v>
      </c>
      <c r="Y14" s="41">
        <f t="shared" si="35"/>
        <v>199.18</v>
      </c>
      <c r="Z14" s="41">
        <f t="shared" si="35"/>
        <v>272.77999999999997</v>
      </c>
      <c r="AB14" s="182">
        <f t="shared" si="23"/>
        <v>199.1</v>
      </c>
      <c r="AC14" s="182">
        <f t="shared" si="23"/>
        <v>272.7</v>
      </c>
      <c r="AE14" s="40">
        <f t="shared" si="24"/>
        <v>165.91666666666666</v>
      </c>
      <c r="AF14" s="40">
        <f t="shared" si="24"/>
        <v>227.25</v>
      </c>
      <c r="AH14" s="40">
        <f t="shared" si="25"/>
        <v>8.0000000000012506E-2</v>
      </c>
      <c r="AI14" s="40">
        <f t="shared" si="25"/>
        <v>7.9999999999984084E-2</v>
      </c>
      <c r="AK14" s="130">
        <f t="shared" si="26"/>
        <v>9.9600000000000009</v>
      </c>
      <c r="AL14" s="130">
        <f t="shared" si="26"/>
        <v>13.64</v>
      </c>
      <c r="AM14" s="40"/>
      <c r="AN14" s="40">
        <f t="shared" si="27"/>
        <v>66.311999999999983</v>
      </c>
      <c r="AO14" s="40">
        <f t="shared" si="28"/>
        <v>90.848000000000013</v>
      </c>
      <c r="AP14" s="40"/>
      <c r="AQ14" s="144">
        <f t="shared" si="29"/>
        <v>0.1</v>
      </c>
      <c r="AR14" s="144">
        <f t="shared" si="29"/>
        <v>0.1</v>
      </c>
      <c r="AS14" s="40"/>
      <c r="AT14" s="146">
        <f t="shared" si="30"/>
        <v>0.39951801421858046</v>
      </c>
      <c r="AU14" s="146">
        <f t="shared" si="30"/>
        <v>0.39964807320077433</v>
      </c>
      <c r="AV14" s="40"/>
      <c r="AW14" s="76">
        <f t="shared" si="31"/>
        <v>0.5</v>
      </c>
      <c r="AX14" s="76">
        <f t="shared" si="31"/>
        <v>0.5</v>
      </c>
      <c r="AY14" s="42"/>
      <c r="AZ14" s="42">
        <f t="shared" si="32"/>
        <v>82.909999999999982</v>
      </c>
      <c r="BA14" s="42">
        <f t="shared" si="32"/>
        <v>113.58000000000001</v>
      </c>
      <c r="BB14" s="42"/>
      <c r="BC14" s="76">
        <f t="shared" si="33"/>
        <v>0.4995180142185805</v>
      </c>
      <c r="BD14" s="76">
        <f t="shared" si="33"/>
        <v>0.49964807320077431</v>
      </c>
      <c r="BE14" s="42"/>
    </row>
    <row r="15" spans="1:57" x14ac:dyDescent="0.25">
      <c r="A15"/>
      <c r="D15" s="150"/>
      <c r="E15" s="150"/>
      <c r="F15" s="41"/>
      <c r="G15" s="153"/>
      <c r="H15" s="153"/>
      <c r="J15" s="154"/>
      <c r="K15" s="154"/>
      <c r="M15" s="134"/>
      <c r="N15" s="134"/>
      <c r="P15" s="134"/>
      <c r="Q15" s="134"/>
      <c r="S15" s="140"/>
      <c r="T15" s="140"/>
      <c r="V15" s="40"/>
      <c r="W15" s="40"/>
      <c r="Y15" s="41"/>
      <c r="Z15" s="41"/>
      <c r="AK15" s="130"/>
      <c r="AL15" s="130"/>
      <c r="AM15" s="40"/>
      <c r="AN15" s="40"/>
      <c r="AO15" s="40"/>
      <c r="AP15" s="40"/>
      <c r="AQ15" s="145"/>
      <c r="AR15" s="145"/>
      <c r="AS15" s="40"/>
      <c r="AT15" s="146"/>
      <c r="AU15" s="146"/>
      <c r="AV15" s="40"/>
      <c r="AW15" s="76"/>
      <c r="AX15" s="76"/>
      <c r="AY15" s="42"/>
      <c r="AZ15" s="42"/>
      <c r="BA15" s="42"/>
      <c r="BB15" s="42"/>
      <c r="BC15" s="76"/>
      <c r="BD15" s="76"/>
      <c r="BE15" s="42"/>
    </row>
    <row r="16" spans="1:57" x14ac:dyDescent="0.25">
      <c r="A16" s="167" t="s">
        <v>138</v>
      </c>
      <c r="B16" s="4"/>
      <c r="D16" s="149"/>
      <c r="E16" s="149"/>
      <c r="F16" s="41"/>
      <c r="G16" s="153"/>
      <c r="H16" s="153"/>
      <c r="J16" s="154"/>
      <c r="K16" s="154"/>
      <c r="M16" s="134"/>
      <c r="N16" s="134"/>
      <c r="P16" s="134"/>
      <c r="Q16" s="134"/>
      <c r="S16" s="140"/>
      <c r="T16" s="140"/>
      <c r="V16" s="40"/>
      <c r="W16" s="40"/>
      <c r="Y16" s="41"/>
      <c r="Z16" s="41"/>
      <c r="AK16" s="130"/>
      <c r="AL16" s="130"/>
      <c r="AM16" s="40"/>
      <c r="AN16" s="40"/>
      <c r="AO16" s="40"/>
      <c r="AP16" s="40"/>
      <c r="AQ16" s="145"/>
      <c r="AR16" s="145"/>
      <c r="AS16" s="40"/>
      <c r="AT16" s="146"/>
      <c r="AU16" s="146"/>
      <c r="AV16" s="40"/>
      <c r="AW16" s="76"/>
      <c r="AX16" s="76"/>
      <c r="AY16" s="42"/>
      <c r="AZ16" s="42"/>
      <c r="BA16" s="42"/>
      <c r="BB16" s="42"/>
      <c r="BC16" s="76"/>
      <c r="BD16" s="76"/>
      <c r="BE16" s="42"/>
    </row>
    <row r="17" spans="1:57" x14ac:dyDescent="0.25">
      <c r="A17" t="s">
        <v>133</v>
      </c>
      <c r="D17" s="162">
        <f>ROUND('AMT Standard re Jan25'!D17*SUM(1+'AMT Standard from 1 Apr25'!$D$1),2)</f>
        <v>106.95</v>
      </c>
      <c r="E17" s="162">
        <f>ROUND('AMT Standard re Jan25'!E17*SUM(1+'AMT Standard from 1 Apr25'!$D$1),2)</f>
        <v>152.91</v>
      </c>
      <c r="F17" s="81"/>
      <c r="G17" s="153">
        <f t="shared" ref="G17:H20" si="36">D17*SUM(1+$G$1/$Y$1)</f>
        <v>128.34</v>
      </c>
      <c r="H17" s="153">
        <f t="shared" si="36"/>
        <v>183.49199999999999</v>
      </c>
      <c r="I17" s="83"/>
      <c r="J17" s="155">
        <f t="shared" ref="J17:K20" si="37">G17-D17</f>
        <v>21.39</v>
      </c>
      <c r="K17" s="155">
        <f t="shared" si="37"/>
        <v>30.581999999999994</v>
      </c>
      <c r="L17" s="83"/>
      <c r="M17" s="134">
        <f>ROUND(D17*(1+$G$1*2),2)*SUM(1+$M$1)</f>
        <v>141.17400000000001</v>
      </c>
      <c r="N17" s="134">
        <f>ROUND(E17*(1+$G$1*2),2)*SUM(1+$M$1)</f>
        <v>201.83900000000003</v>
      </c>
      <c r="P17" s="134">
        <f t="shared" ref="P17:Q20" si="38">M17-D17</f>
        <v>34.224000000000004</v>
      </c>
      <c r="Q17" s="134">
        <f t="shared" si="38"/>
        <v>48.92900000000003</v>
      </c>
      <c r="S17" s="141">
        <f t="shared" ref="S17:T20" si="39">AK17/G17</f>
        <v>9.9968832787907122E-2</v>
      </c>
      <c r="T17" s="141">
        <f t="shared" si="39"/>
        <v>0.10000435986310031</v>
      </c>
      <c r="V17" s="41">
        <f t="shared" ref="V17:W20" si="40">SUM(D17/(1-$Y$1))</f>
        <v>213.9</v>
      </c>
      <c r="W17" s="41">
        <f t="shared" si="40"/>
        <v>305.82</v>
      </c>
      <c r="Y17" s="41">
        <f>ROUND(D17/(1-$Y$1)*1.2,2)</f>
        <v>256.68</v>
      </c>
      <c r="Z17" s="41">
        <f>ROUND(E17/(1-$Y$1)*1.2,2)</f>
        <v>366.98</v>
      </c>
      <c r="AB17" s="182">
        <f t="shared" ref="AB17:AC20" si="41">ROUNDDOWN(D17/(1-$Y$1)*1.2,1)</f>
        <v>256.60000000000002</v>
      </c>
      <c r="AC17" s="182">
        <f t="shared" si="41"/>
        <v>366.9</v>
      </c>
      <c r="AE17" s="40">
        <f t="shared" ref="AE17:AF20" si="42">AB17/1.2</f>
        <v>213.83333333333337</v>
      </c>
      <c r="AF17" s="40">
        <f t="shared" si="42"/>
        <v>305.75</v>
      </c>
      <c r="AH17" s="40">
        <f t="shared" ref="AH17:AI20" si="43">Y17-AB17</f>
        <v>7.9999999999984084E-2</v>
      </c>
      <c r="AI17" s="40">
        <f t="shared" si="43"/>
        <v>8.0000000000040927E-2</v>
      </c>
      <c r="AK17" s="130">
        <f t="shared" ref="AK17:AL20" si="44">ROUND(M17*(1-(1/(1+$AL$1))),2)</f>
        <v>12.83</v>
      </c>
      <c r="AL17" s="130">
        <f t="shared" si="44"/>
        <v>18.350000000000001</v>
      </c>
      <c r="AM17" s="40"/>
      <c r="AN17" s="40">
        <f t="shared" ref="AN17:AN20" si="45">SUM(V17-G17)-AH17</f>
        <v>85.480000000000018</v>
      </c>
      <c r="AO17" s="40">
        <f t="shared" ref="AO17:AO20" si="46">SUM(W17-H17)-AI17</f>
        <v>122.24799999999996</v>
      </c>
      <c r="AP17" s="40"/>
      <c r="AQ17" s="144">
        <f t="shared" ref="AQ17:AR20" si="47">(SUM(G17-D17)/D17*$Y$1)</f>
        <v>0.1</v>
      </c>
      <c r="AR17" s="144">
        <f t="shared" si="47"/>
        <v>9.9999999999999978E-2</v>
      </c>
      <c r="AS17" s="40"/>
      <c r="AT17" s="146">
        <f t="shared" ref="AT17:AU20" si="48">AN17/V17</f>
        <v>0.39962599345488553</v>
      </c>
      <c r="AU17" s="146">
        <f t="shared" si="48"/>
        <v>0.39973840821398199</v>
      </c>
      <c r="AV17" s="40"/>
      <c r="AW17" s="76">
        <f t="shared" ref="AW17:AX20" si="49">D17/V17</f>
        <v>0.5</v>
      </c>
      <c r="AX17" s="76">
        <f t="shared" si="49"/>
        <v>0.5</v>
      </c>
      <c r="AY17" s="42"/>
      <c r="AZ17" s="42">
        <f t="shared" ref="AZ17:BA20" si="50">J17+AN17</f>
        <v>106.87000000000002</v>
      </c>
      <c r="BA17" s="42">
        <f t="shared" si="50"/>
        <v>152.82999999999996</v>
      </c>
      <c r="BB17" s="42"/>
      <c r="BC17" s="76">
        <f t="shared" ref="BC17:BD20" si="51">AZ17/(D17/$Y$1)</f>
        <v>0.49962599345488551</v>
      </c>
      <c r="BD17" s="76">
        <f t="shared" si="51"/>
        <v>0.49973840821398197</v>
      </c>
      <c r="BE17" s="42"/>
    </row>
    <row r="18" spans="1:57" x14ac:dyDescent="0.25">
      <c r="A18" t="s">
        <v>134</v>
      </c>
      <c r="D18" s="162">
        <f>ROUND('AMT Standard re Jan25'!D18*SUM(1+'AMT Standard from 1 Apr25'!$D$1),2)</f>
        <v>160.43</v>
      </c>
      <c r="E18" s="162">
        <f>ROUND('AMT Standard re Jan25'!E18*SUM(1+'AMT Standard from 1 Apr25'!$D$1),2)</f>
        <v>229.36</v>
      </c>
      <c r="F18" s="81"/>
      <c r="G18" s="153">
        <f t="shared" si="36"/>
        <v>192.51599999999999</v>
      </c>
      <c r="H18" s="153">
        <f t="shared" si="36"/>
        <v>275.23200000000003</v>
      </c>
      <c r="I18" s="83"/>
      <c r="J18" s="155">
        <f t="shared" si="37"/>
        <v>32.085999999999984</v>
      </c>
      <c r="K18" s="155">
        <f t="shared" si="37"/>
        <v>45.872000000000014</v>
      </c>
      <c r="L18" s="83"/>
      <c r="M18" s="134">
        <f t="shared" ref="M18:N20" si="52">ROUND(D18*(1+$G$1*2),2)*SUM(1+$M$1)</f>
        <v>211.77200000000002</v>
      </c>
      <c r="N18" s="134">
        <f t="shared" si="52"/>
        <v>302.75300000000004</v>
      </c>
      <c r="P18" s="134">
        <f t="shared" si="38"/>
        <v>51.342000000000013</v>
      </c>
      <c r="Q18" s="134">
        <f t="shared" si="38"/>
        <v>73.393000000000029</v>
      </c>
      <c r="S18" s="141">
        <f t="shared" si="39"/>
        <v>9.9991689002472531E-2</v>
      </c>
      <c r="T18" s="141">
        <f t="shared" si="39"/>
        <v>9.998837344494825E-2</v>
      </c>
      <c r="V18" s="41">
        <f t="shared" si="40"/>
        <v>320.86</v>
      </c>
      <c r="W18" s="41">
        <f t="shared" si="40"/>
        <v>458.72</v>
      </c>
      <c r="Y18" s="41">
        <f t="shared" ref="Y18:Z20" si="53">ROUND(D18/(1-$Y$1)*1.2,2)</f>
        <v>385.03</v>
      </c>
      <c r="Z18" s="41">
        <f t="shared" si="53"/>
        <v>550.46</v>
      </c>
      <c r="AB18" s="182">
        <f t="shared" si="41"/>
        <v>385</v>
      </c>
      <c r="AC18" s="182">
        <f t="shared" si="41"/>
        <v>550.4</v>
      </c>
      <c r="AE18" s="40">
        <f t="shared" si="42"/>
        <v>320.83333333333337</v>
      </c>
      <c r="AF18" s="40">
        <f t="shared" si="42"/>
        <v>458.66666666666669</v>
      </c>
      <c r="AH18" s="40">
        <f t="shared" si="43"/>
        <v>2.9999999999972715E-2</v>
      </c>
      <c r="AI18" s="40">
        <f t="shared" si="43"/>
        <v>6.0000000000059117E-2</v>
      </c>
      <c r="AK18" s="130">
        <f t="shared" si="44"/>
        <v>19.25</v>
      </c>
      <c r="AL18" s="130">
        <f t="shared" si="44"/>
        <v>27.52</v>
      </c>
      <c r="AM18" s="40"/>
      <c r="AN18" s="40">
        <f t="shared" si="45"/>
        <v>128.31400000000005</v>
      </c>
      <c r="AO18" s="40">
        <f t="shared" si="46"/>
        <v>183.42799999999994</v>
      </c>
      <c r="AP18" s="40"/>
      <c r="AQ18" s="144">
        <f t="shared" si="47"/>
        <v>9.999999999999995E-2</v>
      </c>
      <c r="AR18" s="144">
        <f t="shared" si="47"/>
        <v>0.10000000000000002</v>
      </c>
      <c r="AS18" s="40"/>
      <c r="AT18" s="146">
        <f t="shared" si="48"/>
        <v>0.39990650127781602</v>
      </c>
      <c r="AU18" s="146">
        <f t="shared" si="48"/>
        <v>0.39986920125566777</v>
      </c>
      <c r="AV18" s="40"/>
      <c r="AW18" s="76">
        <f t="shared" si="49"/>
        <v>0.5</v>
      </c>
      <c r="AX18" s="76">
        <f t="shared" si="49"/>
        <v>0.5</v>
      </c>
      <c r="AY18" s="42"/>
      <c r="AZ18" s="42">
        <f t="shared" si="50"/>
        <v>160.40000000000003</v>
      </c>
      <c r="BA18" s="42">
        <f t="shared" si="50"/>
        <v>229.29999999999995</v>
      </c>
      <c r="BB18" s="42"/>
      <c r="BC18" s="76">
        <f t="shared" si="51"/>
        <v>0.49990650127781594</v>
      </c>
      <c r="BD18" s="76">
        <f t="shared" si="51"/>
        <v>0.49986920125566781</v>
      </c>
      <c r="BE18" s="42"/>
    </row>
    <row r="19" spans="1:57" x14ac:dyDescent="0.25">
      <c r="A19" t="s">
        <v>135</v>
      </c>
      <c r="D19" s="162">
        <f>ROUND('AMT Standard re Jan25'!D19*SUM(1+'AMT Standard from 1 Apr25'!$D$1),2)</f>
        <v>171.42</v>
      </c>
      <c r="E19" s="162">
        <f>ROUND('AMT Standard re Jan25'!E19*SUM(1+'AMT Standard from 1 Apr25'!$D$1),2)</f>
        <v>249.65</v>
      </c>
      <c r="F19" s="81"/>
      <c r="G19" s="153">
        <f t="shared" si="36"/>
        <v>205.70399999999998</v>
      </c>
      <c r="H19" s="153">
        <f t="shared" si="36"/>
        <v>299.58</v>
      </c>
      <c r="J19" s="155">
        <f t="shared" si="37"/>
        <v>34.283999999999992</v>
      </c>
      <c r="K19" s="155">
        <f t="shared" si="37"/>
        <v>49.929999999999978</v>
      </c>
      <c r="M19" s="134">
        <f t="shared" si="52"/>
        <v>226.27</v>
      </c>
      <c r="N19" s="134">
        <f t="shared" si="52"/>
        <v>329.53800000000001</v>
      </c>
      <c r="P19" s="134">
        <f t="shared" si="38"/>
        <v>54.850000000000023</v>
      </c>
      <c r="Q19" s="134">
        <f t="shared" si="38"/>
        <v>79.888000000000005</v>
      </c>
      <c r="S19" s="141">
        <f t="shared" si="39"/>
        <v>9.9998055458328489E-2</v>
      </c>
      <c r="T19" s="141">
        <f t="shared" si="39"/>
        <v>0.10000667601308499</v>
      </c>
      <c r="V19" s="41">
        <f t="shared" si="40"/>
        <v>342.84</v>
      </c>
      <c r="W19" s="41">
        <f t="shared" si="40"/>
        <v>499.3</v>
      </c>
      <c r="Y19" s="41">
        <f t="shared" si="53"/>
        <v>411.41</v>
      </c>
      <c r="Z19" s="41">
        <f t="shared" si="53"/>
        <v>599.16</v>
      </c>
      <c r="AB19" s="182">
        <f t="shared" si="41"/>
        <v>411.4</v>
      </c>
      <c r="AC19" s="182">
        <f t="shared" si="41"/>
        <v>599.1</v>
      </c>
      <c r="AE19" s="40">
        <f t="shared" si="42"/>
        <v>342.83333333333331</v>
      </c>
      <c r="AF19" s="40">
        <f t="shared" si="42"/>
        <v>499.25000000000006</v>
      </c>
      <c r="AH19" s="40">
        <f t="shared" si="43"/>
        <v>1.0000000000047748E-2</v>
      </c>
      <c r="AI19" s="40">
        <f t="shared" si="43"/>
        <v>5.999999999994543E-2</v>
      </c>
      <c r="AK19" s="130">
        <f t="shared" si="44"/>
        <v>20.57</v>
      </c>
      <c r="AL19" s="130">
        <f t="shared" si="44"/>
        <v>29.96</v>
      </c>
      <c r="AM19" s="40"/>
      <c r="AN19" s="40">
        <f t="shared" si="45"/>
        <v>137.12599999999995</v>
      </c>
      <c r="AO19" s="40">
        <f t="shared" si="46"/>
        <v>199.66000000000008</v>
      </c>
      <c r="AP19" s="40"/>
      <c r="AQ19" s="144">
        <f t="shared" si="47"/>
        <v>9.9999999999999978E-2</v>
      </c>
      <c r="AR19" s="144">
        <f t="shared" si="47"/>
        <v>9.999999999999995E-2</v>
      </c>
      <c r="AS19" s="40"/>
      <c r="AT19" s="146">
        <f t="shared" si="48"/>
        <v>0.39997083187492694</v>
      </c>
      <c r="AU19" s="146">
        <f t="shared" si="48"/>
        <v>0.39987983176447039</v>
      </c>
      <c r="AV19" s="40"/>
      <c r="AW19" s="76">
        <f t="shared" si="49"/>
        <v>0.5</v>
      </c>
      <c r="AX19" s="76">
        <f t="shared" si="49"/>
        <v>0.5</v>
      </c>
      <c r="AY19" s="42"/>
      <c r="AZ19" s="42">
        <f t="shared" si="50"/>
        <v>171.40999999999994</v>
      </c>
      <c r="BA19" s="42">
        <f t="shared" si="50"/>
        <v>249.59000000000006</v>
      </c>
      <c r="BB19" s="42"/>
      <c r="BC19" s="76">
        <f t="shared" si="51"/>
        <v>0.49997083187492691</v>
      </c>
      <c r="BD19" s="76">
        <f t="shared" si="51"/>
        <v>0.49987983176447037</v>
      </c>
      <c r="BE19" s="42"/>
    </row>
    <row r="20" spans="1:57" x14ac:dyDescent="0.25">
      <c r="A20" t="s">
        <v>136</v>
      </c>
      <c r="D20" s="162">
        <f>ROUND('AMT Standard re Jan25'!D20*SUM(1+'AMT Standard from 1 Apr25'!$D$1),2)</f>
        <v>186.08</v>
      </c>
      <c r="E20" s="162">
        <f>ROUND('AMT Standard re Jan25'!E20*SUM(1+'AMT Standard from 1 Apr25'!$D$1),2)</f>
        <v>267.69</v>
      </c>
      <c r="F20" s="81"/>
      <c r="G20" s="153">
        <f t="shared" si="36"/>
        <v>223.29600000000002</v>
      </c>
      <c r="H20" s="153">
        <f t="shared" si="36"/>
        <v>321.22800000000001</v>
      </c>
      <c r="J20" s="155">
        <f t="shared" si="37"/>
        <v>37.216000000000008</v>
      </c>
      <c r="K20" s="155">
        <f t="shared" si="37"/>
        <v>53.538000000000011</v>
      </c>
      <c r="M20" s="134">
        <f t="shared" si="52"/>
        <v>245.63000000000002</v>
      </c>
      <c r="N20" s="134">
        <f t="shared" si="52"/>
        <v>353.35300000000007</v>
      </c>
      <c r="P20" s="134">
        <f t="shared" si="38"/>
        <v>59.550000000000011</v>
      </c>
      <c r="Q20" s="134">
        <f t="shared" si="38"/>
        <v>85.663000000000068</v>
      </c>
      <c r="S20" s="141">
        <f t="shared" si="39"/>
        <v>0.10000179134422468</v>
      </c>
      <c r="T20" s="141">
        <f t="shared" si="39"/>
        <v>9.9991283449761534E-2</v>
      </c>
      <c r="V20" s="41">
        <f t="shared" si="40"/>
        <v>372.16</v>
      </c>
      <c r="W20" s="41">
        <f t="shared" si="40"/>
        <v>535.38</v>
      </c>
      <c r="Y20" s="41">
        <f t="shared" si="53"/>
        <v>446.59</v>
      </c>
      <c r="Z20" s="41">
        <f t="shared" si="53"/>
        <v>642.46</v>
      </c>
      <c r="AB20" s="182">
        <f t="shared" si="41"/>
        <v>446.5</v>
      </c>
      <c r="AC20" s="182">
        <f t="shared" si="41"/>
        <v>642.4</v>
      </c>
      <c r="AE20" s="40">
        <f t="shared" si="42"/>
        <v>372.08333333333337</v>
      </c>
      <c r="AF20" s="40">
        <f t="shared" si="42"/>
        <v>535.33333333333337</v>
      </c>
      <c r="AH20" s="40">
        <f t="shared" si="43"/>
        <v>8.9999999999974989E-2</v>
      </c>
      <c r="AI20" s="40">
        <f t="shared" si="43"/>
        <v>6.0000000000059117E-2</v>
      </c>
      <c r="AK20" s="130">
        <f t="shared" si="44"/>
        <v>22.33</v>
      </c>
      <c r="AL20" s="130">
        <f t="shared" si="44"/>
        <v>32.119999999999997</v>
      </c>
      <c r="AM20" s="40"/>
      <c r="AN20" s="40">
        <f t="shared" si="45"/>
        <v>148.77400000000003</v>
      </c>
      <c r="AO20" s="40">
        <f t="shared" si="46"/>
        <v>214.09199999999993</v>
      </c>
      <c r="AP20" s="40"/>
      <c r="AQ20" s="144">
        <f t="shared" si="47"/>
        <v>0.10000000000000002</v>
      </c>
      <c r="AR20" s="144">
        <f t="shared" si="47"/>
        <v>0.10000000000000002</v>
      </c>
      <c r="AS20" s="40"/>
      <c r="AT20" s="146">
        <f t="shared" si="48"/>
        <v>0.39975816852966473</v>
      </c>
      <c r="AU20" s="146">
        <f t="shared" si="48"/>
        <v>0.39988793006836254</v>
      </c>
      <c r="AV20" s="40"/>
      <c r="AW20" s="76">
        <f t="shared" si="49"/>
        <v>0.5</v>
      </c>
      <c r="AX20" s="76">
        <f t="shared" si="49"/>
        <v>0.5</v>
      </c>
      <c r="AY20" s="42"/>
      <c r="AZ20" s="42">
        <f t="shared" si="50"/>
        <v>185.99000000000004</v>
      </c>
      <c r="BA20" s="42">
        <f t="shared" si="50"/>
        <v>267.62999999999994</v>
      </c>
      <c r="BB20" s="42"/>
      <c r="BC20" s="76">
        <f t="shared" si="51"/>
        <v>0.4997581685296647</v>
      </c>
      <c r="BD20" s="76">
        <f t="shared" si="51"/>
        <v>0.49988793006836257</v>
      </c>
      <c r="BE20" s="42"/>
    </row>
    <row r="21" spans="1:57" x14ac:dyDescent="0.25">
      <c r="C21" s="104"/>
      <c r="D21" s="104"/>
      <c r="H21" s="40"/>
      <c r="I21" s="75"/>
      <c r="J21" s="75"/>
      <c r="K21" s="75"/>
      <c r="L21" s="75"/>
      <c r="V21" s="40"/>
      <c r="X21" s="41"/>
      <c r="Y21" s="40"/>
      <c r="Z21" s="40"/>
      <c r="AK21" s="76"/>
      <c r="AL21" s="76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76"/>
      <c r="AX21" s="76"/>
      <c r="AY21" s="42"/>
      <c r="AZ21" s="42"/>
      <c r="BA21" s="42"/>
      <c r="BB21" s="42"/>
      <c r="BC21" s="76"/>
      <c r="BD21" s="76"/>
      <c r="BE21" s="40"/>
    </row>
    <row r="22" spans="1:57" x14ac:dyDescent="0.25">
      <c r="A22" s="4" t="s">
        <v>139</v>
      </c>
      <c r="X22" s="41"/>
      <c r="Y22" s="40"/>
      <c r="Z22" s="40"/>
      <c r="AK22" s="76"/>
      <c r="AL22" s="76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76"/>
      <c r="AX22" s="76"/>
      <c r="AY22" s="42"/>
      <c r="AZ22" s="42"/>
      <c r="BA22" s="42"/>
      <c r="BB22" s="42"/>
      <c r="BC22" s="76"/>
      <c r="BD22" s="76"/>
      <c r="BE22" s="40"/>
    </row>
    <row r="23" spans="1:57" x14ac:dyDescent="0.25">
      <c r="A23" s="53"/>
      <c r="X23" s="41"/>
      <c r="Y23" s="40"/>
      <c r="Z23" s="40"/>
      <c r="AK23" s="76"/>
      <c r="AL23" s="76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76"/>
      <c r="AX23" s="76"/>
      <c r="AY23" s="42"/>
      <c r="AZ23" s="42"/>
      <c r="BA23" s="42"/>
      <c r="BB23" s="42"/>
      <c r="BC23" s="76"/>
      <c r="BD23" s="76"/>
      <c r="BE23" s="40"/>
    </row>
    <row r="24" spans="1:57" x14ac:dyDescent="0.25">
      <c r="A24" s="100" t="s">
        <v>132</v>
      </c>
      <c r="B24" s="52" t="s">
        <v>140</v>
      </c>
      <c r="D24" s="55" t="s">
        <v>141</v>
      </c>
      <c r="E24" s="55"/>
      <c r="F24" s="55"/>
    </row>
    <row r="25" spans="1:57" x14ac:dyDescent="0.25">
      <c r="A25" s="100" t="s">
        <v>137</v>
      </c>
      <c r="B25" s="52" t="s">
        <v>140</v>
      </c>
      <c r="F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</row>
    <row r="26" spans="1:57" x14ac:dyDescent="0.25">
      <c r="A26" s="100" t="s">
        <v>142</v>
      </c>
      <c r="B26" s="52" t="s">
        <v>140</v>
      </c>
      <c r="F26" s="40"/>
      <c r="G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</row>
    <row r="27" spans="1:57" x14ac:dyDescent="0.25">
      <c r="F27" s="40"/>
      <c r="G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</row>
    <row r="28" spans="1:57" ht="30" x14ac:dyDescent="0.25">
      <c r="A28" s="99" t="s">
        <v>143</v>
      </c>
      <c r="B28" s="52" t="s">
        <v>144</v>
      </c>
      <c r="F28" s="40"/>
      <c r="G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</row>
    <row r="29" spans="1:57" x14ac:dyDescent="0.25">
      <c r="G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</row>
    <row r="30" spans="1:57" ht="45" customHeight="1" x14ac:dyDescent="0.25">
      <c r="A30" s="159" t="s">
        <v>145</v>
      </c>
      <c r="B30" s="246" t="s">
        <v>146</v>
      </c>
      <c r="C30" s="246"/>
      <c r="D30" s="246"/>
      <c r="E30" s="246"/>
      <c r="F30" s="99"/>
      <c r="AA30" s="40"/>
      <c r="AB30" s="40"/>
      <c r="AC30" s="40"/>
      <c r="AD30" s="40"/>
      <c r="AE30" s="40"/>
      <c r="AF30" s="40"/>
      <c r="AG30" s="40"/>
      <c r="AH30" s="40"/>
      <c r="AI30" s="40"/>
      <c r="AJ30" s="40"/>
    </row>
    <row r="31" spans="1:57" ht="45" customHeight="1" x14ac:dyDescent="0.25">
      <c r="A31" s="159" t="s">
        <v>147</v>
      </c>
      <c r="B31" s="246" t="s">
        <v>148</v>
      </c>
      <c r="C31" s="246"/>
      <c r="D31" s="246"/>
      <c r="E31" s="246"/>
      <c r="F31" s="246"/>
      <c r="AA31" s="40"/>
      <c r="AB31" s="40"/>
      <c r="AC31" s="40"/>
      <c r="AD31" s="40"/>
      <c r="AE31" s="40"/>
      <c r="AF31" s="40"/>
      <c r="AG31" s="40"/>
      <c r="AH31" s="40"/>
      <c r="AI31" s="40"/>
      <c r="AJ31" s="40"/>
    </row>
    <row r="32" spans="1:57" x14ac:dyDescent="0.25"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</row>
    <row r="33" spans="1:57" x14ac:dyDescent="0.25">
      <c r="A33" s="100" t="s">
        <v>149</v>
      </c>
      <c r="B33" s="101" t="s">
        <v>150</v>
      </c>
      <c r="C33" s="52"/>
      <c r="AA33" s="40"/>
      <c r="AB33" s="40"/>
      <c r="AC33" s="40"/>
      <c r="AD33" s="40"/>
      <c r="AE33" s="40"/>
      <c r="AF33" s="40"/>
      <c r="AG33" s="40"/>
      <c r="AH33" s="40"/>
      <c r="AI33" s="40"/>
      <c r="AJ33" s="40"/>
    </row>
    <row r="34" spans="1:57" x14ac:dyDescent="0.25">
      <c r="A34" s="100" t="s">
        <v>151</v>
      </c>
      <c r="B34" s="101" t="s">
        <v>152</v>
      </c>
      <c r="C34" s="52"/>
    </row>
    <row r="35" spans="1:57" x14ac:dyDescent="0.25">
      <c r="A35" s="100" t="s">
        <v>153</v>
      </c>
      <c r="B35" s="101" t="s">
        <v>154</v>
      </c>
      <c r="C35" s="52"/>
    </row>
    <row r="36" spans="1:57" s="96" customFormat="1" ht="45" customHeight="1" x14ac:dyDescent="0.25">
      <c r="D36" s="244" t="s">
        <v>128</v>
      </c>
      <c r="E36" s="244"/>
      <c r="F36" s="95"/>
      <c r="G36" s="245" t="s">
        <v>3</v>
      </c>
      <c r="H36" s="245"/>
      <c r="I36" s="18"/>
      <c r="J36" s="245" t="s">
        <v>4</v>
      </c>
      <c r="K36" s="245"/>
      <c r="L36" s="18"/>
      <c r="M36" s="219" t="s">
        <v>5</v>
      </c>
      <c r="N36" s="219"/>
      <c r="O36" s="18"/>
      <c r="P36" s="219" t="s">
        <v>6</v>
      </c>
      <c r="Q36" s="219"/>
      <c r="R36" s="18"/>
      <c r="S36" s="219" t="s">
        <v>7</v>
      </c>
      <c r="T36" s="219"/>
      <c r="U36" s="18"/>
      <c r="V36" s="214" t="s">
        <v>8</v>
      </c>
      <c r="W36" s="214"/>
      <c r="X36" s="52"/>
      <c r="Y36" s="211" t="s">
        <v>9</v>
      </c>
      <c r="Z36" s="211"/>
      <c r="AA36" s="1"/>
      <c r="AB36" s="215" t="s">
        <v>10</v>
      </c>
      <c r="AC36" s="215"/>
      <c r="AD36" s="1"/>
      <c r="AE36" s="211" t="s">
        <v>11</v>
      </c>
      <c r="AF36" s="211"/>
      <c r="AG36" s="1"/>
      <c r="AH36" s="211" t="s">
        <v>12</v>
      </c>
      <c r="AI36" s="211"/>
      <c r="AJ36" s="1"/>
      <c r="AK36" s="211" t="s">
        <v>13</v>
      </c>
      <c r="AL36" s="211"/>
      <c r="AM36" s="1"/>
      <c r="AN36" s="211" t="s">
        <v>14</v>
      </c>
      <c r="AO36" s="211"/>
      <c r="AP36" s="1"/>
      <c r="AQ36" s="212" t="s">
        <v>15</v>
      </c>
      <c r="AR36" s="212"/>
      <c r="AS36" s="1"/>
      <c r="AT36" s="211" t="s">
        <v>16</v>
      </c>
      <c r="AU36" s="211"/>
      <c r="AV36" s="1"/>
      <c r="AW36" s="213" t="s">
        <v>17</v>
      </c>
      <c r="AX36" s="213"/>
      <c r="AY36" s="1"/>
      <c r="AZ36" s="213" t="s">
        <v>18</v>
      </c>
      <c r="BA36" s="213"/>
      <c r="BB36" s="1"/>
      <c r="BC36" s="213" t="s">
        <v>129</v>
      </c>
      <c r="BD36" s="213"/>
      <c r="BE36" s="1"/>
    </row>
    <row r="37" spans="1:57" s="96" customFormat="1" ht="45" customHeight="1" x14ac:dyDescent="0.25">
      <c r="D37" s="195" t="s">
        <v>130</v>
      </c>
      <c r="E37" s="147" t="s">
        <v>131</v>
      </c>
      <c r="F37" s="35"/>
      <c r="G37" s="151" t="s">
        <v>130</v>
      </c>
      <c r="H37" s="152" t="s">
        <v>131</v>
      </c>
      <c r="I37" s="52"/>
      <c r="J37" s="151" t="s">
        <v>130</v>
      </c>
      <c r="K37" s="152" t="s">
        <v>131</v>
      </c>
      <c r="L37" s="52"/>
      <c r="M37" s="132" t="s">
        <v>130</v>
      </c>
      <c r="N37" s="133" t="s">
        <v>131</v>
      </c>
      <c r="O37" s="52"/>
      <c r="P37" s="132" t="s">
        <v>130</v>
      </c>
      <c r="Q37" s="133" t="s">
        <v>131</v>
      </c>
      <c r="R37" s="52"/>
      <c r="S37" s="132" t="s">
        <v>130</v>
      </c>
      <c r="T37" s="133" t="s">
        <v>131</v>
      </c>
      <c r="U37" s="52"/>
      <c r="V37" s="96" t="s">
        <v>130</v>
      </c>
      <c r="W37" s="95" t="s">
        <v>131</v>
      </c>
      <c r="X37" s="52"/>
      <c r="Y37" s="96" t="s">
        <v>130</v>
      </c>
      <c r="Z37" s="95" t="s">
        <v>131</v>
      </c>
      <c r="AA37" s="52"/>
      <c r="AB37" s="96" t="s">
        <v>130</v>
      </c>
      <c r="AC37" s="95" t="s">
        <v>131</v>
      </c>
      <c r="AD37" s="52"/>
      <c r="AE37" s="96" t="s">
        <v>130</v>
      </c>
      <c r="AF37" s="95" t="s">
        <v>131</v>
      </c>
      <c r="AG37" s="34"/>
      <c r="AH37" s="96" t="s">
        <v>130</v>
      </c>
      <c r="AI37" s="95" t="s">
        <v>131</v>
      </c>
      <c r="AJ37" s="52"/>
      <c r="AK37" s="128" t="s">
        <v>130</v>
      </c>
      <c r="AL37" s="129" t="s">
        <v>131</v>
      </c>
      <c r="AM37" s="52"/>
      <c r="AN37" s="96" t="s">
        <v>130</v>
      </c>
      <c r="AO37" s="95" t="s">
        <v>131</v>
      </c>
      <c r="AP37" s="52"/>
      <c r="AQ37" s="196" t="s">
        <v>130</v>
      </c>
      <c r="AR37" s="142" t="s">
        <v>131</v>
      </c>
      <c r="AS37" s="52"/>
      <c r="AT37" s="197" t="s">
        <v>130</v>
      </c>
      <c r="AU37" s="129" t="s">
        <v>131</v>
      </c>
      <c r="AV37" s="52"/>
      <c r="AW37" s="96" t="s">
        <v>130</v>
      </c>
      <c r="AX37" s="95" t="s">
        <v>131</v>
      </c>
      <c r="AY37" s="52"/>
      <c r="AZ37" s="96" t="s">
        <v>130</v>
      </c>
      <c r="BA37" s="95" t="s">
        <v>131</v>
      </c>
      <c r="BB37" s="52"/>
      <c r="BC37" s="139" t="s">
        <v>130</v>
      </c>
      <c r="BD37" s="95" t="s">
        <v>131</v>
      </c>
      <c r="BE37" s="1"/>
    </row>
    <row r="38" spans="1:57" x14ac:dyDescent="0.25">
      <c r="B38" s="45"/>
      <c r="D38" s="149"/>
      <c r="E38" s="149"/>
      <c r="F38" s="81"/>
      <c r="G38" s="153"/>
      <c r="H38" s="153"/>
      <c r="J38" s="155"/>
      <c r="K38" s="155"/>
      <c r="L38" s="41"/>
      <c r="M38" s="161"/>
      <c r="N38" s="161"/>
      <c r="P38" s="134"/>
      <c r="Q38" s="134"/>
      <c r="S38" s="141"/>
      <c r="T38" s="141"/>
      <c r="V38" s="41"/>
      <c r="W38" s="41"/>
      <c r="Y38" s="41"/>
      <c r="Z38" s="41"/>
      <c r="AB38" s="182"/>
      <c r="AC38" s="182"/>
      <c r="AE38" s="40"/>
      <c r="AF38" s="40"/>
      <c r="AH38" s="40"/>
      <c r="AI38" s="40"/>
      <c r="AK38" s="130"/>
      <c r="AL38" s="130"/>
      <c r="AM38" s="40"/>
      <c r="AN38" s="40"/>
      <c r="AO38" s="40"/>
      <c r="AP38" s="40"/>
      <c r="AQ38" s="144"/>
      <c r="AR38" s="144"/>
      <c r="AS38" s="40"/>
      <c r="AT38" s="146"/>
      <c r="AU38" s="146"/>
      <c r="AV38" s="40"/>
      <c r="AW38" s="76"/>
      <c r="AX38" s="76"/>
      <c r="AY38" s="42"/>
      <c r="AZ38" s="42"/>
      <c r="BA38" s="42"/>
      <c r="BB38" s="42"/>
      <c r="BC38" s="76"/>
      <c r="BD38" s="76"/>
      <c r="BE38" s="42"/>
    </row>
    <row r="39" spans="1:57" ht="39.950000000000003" customHeight="1" x14ac:dyDescent="0.25">
      <c r="A39" s="247" t="s">
        <v>63</v>
      </c>
      <c r="B39" s="247"/>
      <c r="C39" s="247"/>
      <c r="D39" s="162">
        <v>15</v>
      </c>
      <c r="E39" s="162">
        <v>15</v>
      </c>
      <c r="F39" s="81"/>
      <c r="G39" s="153">
        <f>D39*SUM(1+$G$1/$Y$1)</f>
        <v>18</v>
      </c>
      <c r="H39" s="153">
        <f>E39*SUM(1+$G$1/$Y$1)</f>
        <v>18</v>
      </c>
      <c r="J39" s="155">
        <f t="shared" ref="J39:K39" si="54">G39-D39</f>
        <v>3</v>
      </c>
      <c r="K39" s="155">
        <f t="shared" si="54"/>
        <v>3</v>
      </c>
      <c r="L39" s="41"/>
      <c r="M39" s="161">
        <f t="shared" ref="M39:N39" si="55">ROUND(D39*(1+$G$1*2),2)*SUM(1+$M$1)</f>
        <v>19.8</v>
      </c>
      <c r="N39" s="161">
        <f t="shared" si="55"/>
        <v>19.8</v>
      </c>
      <c r="P39" s="134">
        <f t="shared" ref="P39:Q39" si="56">M39-D39</f>
        <v>4.8000000000000007</v>
      </c>
      <c r="Q39" s="134">
        <f t="shared" si="56"/>
        <v>4.8000000000000007</v>
      </c>
      <c r="S39" s="141">
        <f>AK39/G39</f>
        <v>0.1</v>
      </c>
      <c r="T39" s="141">
        <f>AL39/H39</f>
        <v>0.1</v>
      </c>
      <c r="V39" s="41">
        <f>SUM(D39/(1-$Y$1))</f>
        <v>30</v>
      </c>
      <c r="W39" s="41">
        <f>SUM(E39/(1-$Y$1))</f>
        <v>30</v>
      </c>
      <c r="Y39" s="41">
        <f t="shared" ref="Y39:Z39" si="57">ROUND(D39/(1-$Y$1)*1.2,2)</f>
        <v>36</v>
      </c>
      <c r="Z39" s="41">
        <f t="shared" si="57"/>
        <v>36</v>
      </c>
      <c r="AB39" s="182">
        <f t="shared" ref="AB39:AC39" si="58">ROUNDDOWN(D39/(1-$Y$1)*1.2,1)</f>
        <v>36</v>
      </c>
      <c r="AC39" s="182">
        <f t="shared" si="58"/>
        <v>36</v>
      </c>
      <c r="AE39" s="40">
        <f t="shared" ref="AE39:AF39" si="59">AB39/1.2</f>
        <v>30</v>
      </c>
      <c r="AF39" s="40">
        <f t="shared" si="59"/>
        <v>30</v>
      </c>
      <c r="AH39" s="40">
        <f t="shared" ref="AH39:AI39" si="60">Y39-AB39</f>
        <v>0</v>
      </c>
      <c r="AI39" s="40">
        <f t="shared" si="60"/>
        <v>0</v>
      </c>
      <c r="AK39" s="130">
        <f t="shared" ref="AK39" si="61">ROUND(M39*(1-(1/(1+$AL$1))),2)</f>
        <v>1.8</v>
      </c>
      <c r="AL39" s="130">
        <f>ROUND(N39*(1-(1/(1+$AL$1))),2)</f>
        <v>1.8</v>
      </c>
      <c r="AM39" s="40"/>
      <c r="AN39" s="40">
        <f t="shared" ref="AN39" si="62">SUM(V39-G39)-AH39</f>
        <v>12</v>
      </c>
      <c r="AO39" s="40">
        <f t="shared" ref="AO39" si="63">SUM(W39-H39)-AI39</f>
        <v>12</v>
      </c>
      <c r="AP39" s="40"/>
      <c r="AQ39" s="144">
        <f>(SUM(G39-D39)/D39*$Y$1)</f>
        <v>0.1</v>
      </c>
      <c r="AR39" s="144">
        <f>(SUM(H39-E39)/E39*$Y$1)</f>
        <v>0.1</v>
      </c>
      <c r="AS39" s="40"/>
      <c r="AT39" s="146">
        <f>AN39/V39</f>
        <v>0.4</v>
      </c>
      <c r="AU39" s="146">
        <f>AO39/W39</f>
        <v>0.4</v>
      </c>
      <c r="AV39" s="40"/>
      <c r="AW39" s="76">
        <f>D39/V39</f>
        <v>0.5</v>
      </c>
      <c r="AX39" s="76">
        <f>E39/W39</f>
        <v>0.5</v>
      </c>
      <c r="AY39" s="42"/>
      <c r="AZ39" s="42">
        <f>J39+AN39</f>
        <v>15</v>
      </c>
      <c r="BA39" s="42">
        <f>K39+AO39</f>
        <v>15</v>
      </c>
      <c r="BB39" s="42"/>
      <c r="BC39" s="76">
        <f>AZ39/(D39/$Y$1)</f>
        <v>0.5</v>
      </c>
      <c r="BD39" s="76">
        <f>BA39/(E39/$Y$1)</f>
        <v>0.5</v>
      </c>
      <c r="BE39" s="42"/>
    </row>
    <row r="40" spans="1:57" x14ac:dyDescent="0.25">
      <c r="A40" s="52"/>
      <c r="B40" s="52"/>
      <c r="C40" s="98"/>
      <c r="D40" s="52"/>
      <c r="E40" s="52"/>
      <c r="F40" s="40"/>
    </row>
    <row r="41" spans="1:57" x14ac:dyDescent="0.25">
      <c r="A41" s="45" t="s">
        <v>64</v>
      </c>
      <c r="B41" s="45" t="s">
        <v>65</v>
      </c>
      <c r="C41" s="45" t="s">
        <v>66</v>
      </c>
    </row>
    <row r="42" spans="1:57" s="122" customFormat="1" ht="30" customHeight="1" x14ac:dyDescent="0.25">
      <c r="A42" s="120"/>
      <c r="B42" s="121" t="s">
        <v>67</v>
      </c>
      <c r="C42" s="248" t="s">
        <v>68</v>
      </c>
      <c r="D42" s="248"/>
      <c r="E42" s="248"/>
      <c r="F42" s="248"/>
      <c r="G42" s="248"/>
      <c r="H42" s="248"/>
      <c r="I42" s="248"/>
      <c r="J42" s="248"/>
      <c r="K42" s="248"/>
      <c r="L42" s="248"/>
      <c r="M42" s="248"/>
    </row>
    <row r="43" spans="1:57" s="122" customFormat="1" ht="30" customHeight="1" x14ac:dyDescent="0.25">
      <c r="A43" s="120"/>
      <c r="B43" s="121"/>
      <c r="C43" s="248"/>
      <c r="D43" s="248"/>
      <c r="E43" s="248"/>
      <c r="F43" s="248"/>
      <c r="G43" s="248"/>
      <c r="H43" s="248"/>
      <c r="I43" s="248"/>
      <c r="J43" s="248"/>
      <c r="K43" s="248"/>
      <c r="L43" s="248"/>
      <c r="M43" s="248"/>
    </row>
    <row r="44" spans="1:57" x14ac:dyDescent="0.25">
      <c r="B44" s="45" t="s">
        <v>69</v>
      </c>
      <c r="C44" s="45" t="s">
        <v>70</v>
      </c>
      <c r="G44" s="40"/>
    </row>
    <row r="45" spans="1:57" x14ac:dyDescent="0.25">
      <c r="B45" s="45" t="s">
        <v>71</v>
      </c>
      <c r="C45" s="45" t="s">
        <v>72</v>
      </c>
      <c r="G45" s="40"/>
    </row>
    <row r="46" spans="1:57" x14ac:dyDescent="0.25">
      <c r="A46" s="52"/>
      <c r="B46" s="52"/>
      <c r="C46" s="98"/>
      <c r="D46" s="52"/>
      <c r="E46" s="52"/>
      <c r="F46" s="40"/>
    </row>
    <row r="47" spans="1:57" x14ac:dyDescent="0.25">
      <c r="A47" s="46" t="s">
        <v>73</v>
      </c>
      <c r="B47" s="1" t="s">
        <v>74</v>
      </c>
      <c r="C47" s="46" t="s">
        <v>75</v>
      </c>
      <c r="D47" s="25"/>
      <c r="F47" s="47"/>
    </row>
    <row r="48" spans="1:57" x14ac:dyDescent="0.25">
      <c r="A48" s="25"/>
      <c r="B48" s="1" t="s">
        <v>76</v>
      </c>
      <c r="C48" s="47" t="s">
        <v>77</v>
      </c>
      <c r="D48" s="25"/>
      <c r="F48" s="47"/>
    </row>
    <row r="49" spans="1:12" x14ac:dyDescent="0.25">
      <c r="A49" s="25"/>
      <c r="B49" s="1" t="s">
        <v>78</v>
      </c>
      <c r="C49" s="47" t="s">
        <v>79</v>
      </c>
      <c r="D49" s="25"/>
      <c r="F49" s="47"/>
    </row>
    <row r="50" spans="1:12" x14ac:dyDescent="0.25">
      <c r="A50" s="25"/>
      <c r="B50" s="1" t="s">
        <v>80</v>
      </c>
      <c r="C50" s="47" t="s">
        <v>81</v>
      </c>
      <c r="D50" s="25"/>
      <c r="F50" s="47"/>
    </row>
    <row r="51" spans="1:12" x14ac:dyDescent="0.25">
      <c r="F51" s="52"/>
      <c r="G51" s="52"/>
      <c r="H51" s="52"/>
      <c r="I51" s="52"/>
      <c r="J51" s="52"/>
      <c r="K51" s="52"/>
      <c r="L51" s="52"/>
    </row>
    <row r="52" spans="1:12" x14ac:dyDescent="0.25">
      <c r="A52" s="1" t="s">
        <v>82</v>
      </c>
      <c r="C52" s="1" t="s">
        <v>83</v>
      </c>
      <c r="F52" s="99"/>
      <c r="G52" s="99"/>
      <c r="H52" s="99"/>
      <c r="I52" s="99"/>
      <c r="J52" s="99"/>
      <c r="K52" s="99"/>
      <c r="L52" s="99"/>
    </row>
    <row r="53" spans="1:12" x14ac:dyDescent="0.25">
      <c r="A53" s="99"/>
      <c r="F53" s="99"/>
      <c r="G53" s="99"/>
      <c r="H53" s="99"/>
      <c r="I53" s="99"/>
      <c r="J53" s="99"/>
      <c r="K53" s="99"/>
      <c r="L53" s="99"/>
    </row>
    <row r="54" spans="1:12" x14ac:dyDescent="0.25">
      <c r="A54" s="52" t="s">
        <v>84</v>
      </c>
      <c r="B54" s="52"/>
      <c r="C54" s="52"/>
      <c r="D54" s="52"/>
      <c r="E54" s="52"/>
      <c r="F54" s="99"/>
      <c r="G54" s="99"/>
      <c r="H54" s="99"/>
      <c r="I54" s="99"/>
      <c r="J54" s="99"/>
      <c r="K54" s="99"/>
      <c r="L54" s="99"/>
    </row>
  </sheetData>
  <mergeCells count="40">
    <mergeCell ref="D2:E2"/>
    <mergeCell ref="G2:H2"/>
    <mergeCell ref="J2:K2"/>
    <mergeCell ref="M2:N2"/>
    <mergeCell ref="P2:Q2"/>
    <mergeCell ref="AZ2:BA2"/>
    <mergeCell ref="BC2:BD2"/>
    <mergeCell ref="V2:W2"/>
    <mergeCell ref="Y2:Z2"/>
    <mergeCell ref="AB2:AC2"/>
    <mergeCell ref="AE2:AF2"/>
    <mergeCell ref="AH2:AI2"/>
    <mergeCell ref="AK2:AL2"/>
    <mergeCell ref="M36:N36"/>
    <mergeCell ref="AN2:AO2"/>
    <mergeCell ref="AQ2:AR2"/>
    <mergeCell ref="AT2:AU2"/>
    <mergeCell ref="AW2:AX2"/>
    <mergeCell ref="S2:T2"/>
    <mergeCell ref="B30:E30"/>
    <mergeCell ref="B31:F31"/>
    <mergeCell ref="D36:E36"/>
    <mergeCell ref="G36:H36"/>
    <mergeCell ref="J36:K36"/>
    <mergeCell ref="AZ36:BA36"/>
    <mergeCell ref="BC36:BD36"/>
    <mergeCell ref="A39:C39"/>
    <mergeCell ref="C42:M43"/>
    <mergeCell ref="AH36:AI36"/>
    <mergeCell ref="AK36:AL36"/>
    <mergeCell ref="AN36:AO36"/>
    <mergeCell ref="AQ36:AR36"/>
    <mergeCell ref="AT36:AU36"/>
    <mergeCell ref="AW36:AX36"/>
    <mergeCell ref="P36:Q36"/>
    <mergeCell ref="S36:T36"/>
    <mergeCell ref="V36:W36"/>
    <mergeCell ref="Y36:Z36"/>
    <mergeCell ref="AB36:AC36"/>
    <mergeCell ref="AE36:AF36"/>
  </mergeCells>
  <pageMargins left="0.7" right="0.7" top="0.75" bottom="0.75" header="0.3" footer="0.3"/>
  <pageSetup paperSize="9" orientation="portrait" horizontalDpi="4294967295" verticalDpi="4294967295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9EA47-9454-4D8E-A43E-C4FA45129CA8}">
  <sheetPr>
    <tabColor theme="4" tint="0.59999389629810485"/>
  </sheetPr>
  <dimension ref="A1:BE58"/>
  <sheetViews>
    <sheetView zoomScale="85" zoomScaleNormal="85" workbookViewId="0">
      <pane xSplit="3" ySplit="3" topLeftCell="D31" activePane="bottomRight" state="frozen"/>
      <selection pane="topRight" activeCell="D1" sqref="D1"/>
      <selection pane="bottomLeft" activeCell="A4" sqref="A4"/>
      <selection pane="bottomRight" activeCell="G1" sqref="G1"/>
    </sheetView>
  </sheetViews>
  <sheetFormatPr defaultColWidth="8.85546875" defaultRowHeight="15" x14ac:dyDescent="0.25"/>
  <cols>
    <col min="1" max="1" width="33.7109375" style="1" customWidth="1"/>
    <col min="2" max="2" width="8.85546875" style="1" customWidth="1"/>
    <col min="3" max="3" width="32.140625" style="1" customWidth="1"/>
    <col min="4" max="5" width="10" style="1" customWidth="1"/>
    <col min="6" max="6" width="3.7109375" style="1" customWidth="1"/>
    <col min="7" max="8" width="9.7109375" style="1" customWidth="1"/>
    <col min="9" max="9" width="3.7109375" style="1" customWidth="1"/>
    <col min="10" max="11" width="9.7109375" style="1" customWidth="1"/>
    <col min="12" max="12" width="3.7109375" style="1" customWidth="1"/>
    <col min="13" max="13" width="13" style="1" customWidth="1"/>
    <col min="14" max="14" width="11.85546875" style="1" bestFit="1" customWidth="1"/>
    <col min="15" max="15" width="3.7109375" style="1" customWidth="1"/>
    <col min="16" max="17" width="9.7109375" style="1" customWidth="1"/>
    <col min="18" max="18" width="3.7109375" style="1" customWidth="1"/>
    <col min="19" max="20" width="9.7109375" style="1" customWidth="1"/>
    <col min="21" max="21" width="5.140625" style="1" customWidth="1"/>
    <col min="22" max="22" width="12.42578125" style="1" customWidth="1"/>
    <col min="23" max="23" width="11.85546875" style="1" customWidth="1"/>
    <col min="24" max="24" width="6.140625" style="1" customWidth="1"/>
    <col min="25" max="25" width="12.42578125" style="1" customWidth="1"/>
    <col min="26" max="26" width="11.85546875" style="1" customWidth="1"/>
    <col min="27" max="27" width="3.7109375" style="1" customWidth="1"/>
    <col min="28" max="29" width="9.7109375" style="1" customWidth="1"/>
    <col min="30" max="30" width="3.7109375" style="1" customWidth="1"/>
    <col min="31" max="32" width="9.7109375" style="1" customWidth="1"/>
    <col min="33" max="33" width="3.7109375" style="1" customWidth="1"/>
    <col min="34" max="35" width="9.7109375" style="1" customWidth="1"/>
    <col min="36" max="36" width="3.7109375" style="1" customWidth="1"/>
    <col min="37" max="38" width="9.7109375" style="1" customWidth="1"/>
    <col min="39" max="39" width="3.7109375" style="1" customWidth="1"/>
    <col min="40" max="41" width="9.7109375" style="1" customWidth="1"/>
    <col min="42" max="42" width="3.7109375" style="1" customWidth="1"/>
    <col min="43" max="44" width="9.7109375" style="1" customWidth="1"/>
    <col min="45" max="45" width="3.7109375" style="1" customWidth="1"/>
    <col min="46" max="47" width="9.7109375" style="1" customWidth="1"/>
    <col min="48" max="48" width="3.7109375" style="1" customWidth="1"/>
    <col min="49" max="50" width="9.7109375" style="1" customWidth="1"/>
    <col min="51" max="51" width="3.7109375" style="1" customWidth="1"/>
    <col min="52" max="53" width="9.7109375" style="1" customWidth="1"/>
    <col min="54" max="54" width="3.7109375" style="1" customWidth="1"/>
    <col min="55" max="55" width="11.85546875" style="1" customWidth="1"/>
    <col min="56" max="56" width="10.42578125" style="1" customWidth="1"/>
    <col min="57" max="57" width="8.140625" style="1" customWidth="1"/>
    <col min="58" max="16384" width="8.85546875" style="1"/>
  </cols>
  <sheetData>
    <row r="1" spans="1:57" ht="15" customHeight="1" thickBot="1" x14ac:dyDescent="0.3">
      <c r="A1" s="184" t="s">
        <v>89</v>
      </c>
      <c r="C1" s="171" t="s">
        <v>0</v>
      </c>
      <c r="D1" s="163">
        <v>0.06</v>
      </c>
      <c r="E1" s="18"/>
      <c r="F1" s="18"/>
      <c r="G1" s="194">
        <v>9.1999999999999998E-2</v>
      </c>
      <c r="H1" s="170" t="s">
        <v>1</v>
      </c>
      <c r="I1" s="18"/>
      <c r="J1" s="18"/>
      <c r="K1" s="18"/>
      <c r="L1" s="18"/>
      <c r="M1" s="92">
        <v>0.1</v>
      </c>
      <c r="N1" s="18"/>
      <c r="O1" s="18"/>
      <c r="P1" s="18"/>
      <c r="Q1" s="18"/>
      <c r="R1" s="18"/>
      <c r="S1" s="18"/>
      <c r="T1" s="18"/>
      <c r="U1" s="18"/>
      <c r="V1" s="92"/>
      <c r="W1" s="18"/>
      <c r="X1" s="92"/>
      <c r="Y1" s="91">
        <v>0.5</v>
      </c>
      <c r="Z1" s="18"/>
      <c r="AL1" s="83">
        <v>0.1</v>
      </c>
    </row>
    <row r="2" spans="1:57" ht="48" customHeight="1" x14ac:dyDescent="0.25">
      <c r="A2" s="190" t="s">
        <v>155</v>
      </c>
      <c r="D2" s="244" t="s">
        <v>128</v>
      </c>
      <c r="E2" s="244"/>
      <c r="F2" s="95"/>
      <c r="G2" s="245" t="s">
        <v>3</v>
      </c>
      <c r="H2" s="245"/>
      <c r="I2" s="18"/>
      <c r="J2" s="245" t="s">
        <v>4</v>
      </c>
      <c r="K2" s="245"/>
      <c r="L2" s="18"/>
      <c r="M2" s="219" t="s">
        <v>5</v>
      </c>
      <c r="N2" s="219"/>
      <c r="O2" s="18"/>
      <c r="P2" s="219" t="s">
        <v>6</v>
      </c>
      <c r="Q2" s="219"/>
      <c r="R2" s="18"/>
      <c r="S2" s="219" t="s">
        <v>7</v>
      </c>
      <c r="T2" s="219"/>
      <c r="U2" s="18"/>
      <c r="V2" s="214" t="s">
        <v>8</v>
      </c>
      <c r="W2" s="214"/>
      <c r="X2" s="52"/>
      <c r="Y2" s="211" t="s">
        <v>9</v>
      </c>
      <c r="Z2" s="211"/>
      <c r="AB2" s="215" t="s">
        <v>10</v>
      </c>
      <c r="AC2" s="215"/>
      <c r="AE2" s="211" t="s">
        <v>11</v>
      </c>
      <c r="AF2" s="211"/>
      <c r="AH2" s="211" t="s">
        <v>12</v>
      </c>
      <c r="AI2" s="211"/>
      <c r="AK2" s="211" t="s">
        <v>13</v>
      </c>
      <c r="AL2" s="211"/>
      <c r="AN2" s="211" t="s">
        <v>14</v>
      </c>
      <c r="AO2" s="211"/>
      <c r="AQ2" s="212" t="s">
        <v>15</v>
      </c>
      <c r="AR2" s="212"/>
      <c r="AT2" s="211" t="s">
        <v>16</v>
      </c>
      <c r="AU2" s="211"/>
      <c r="AW2" s="213" t="s">
        <v>17</v>
      </c>
      <c r="AX2" s="213"/>
      <c r="AZ2" s="213" t="s">
        <v>18</v>
      </c>
      <c r="BA2" s="213"/>
      <c r="BC2" s="213" t="s">
        <v>129</v>
      </c>
      <c r="BD2" s="213"/>
    </row>
    <row r="3" spans="1:57" s="52" customFormat="1" ht="102" customHeight="1" x14ac:dyDescent="0.25">
      <c r="A3" s="97"/>
      <c r="D3" s="195" t="s">
        <v>130</v>
      </c>
      <c r="E3" s="147" t="s">
        <v>131</v>
      </c>
      <c r="F3" s="35"/>
      <c r="G3" s="151" t="s">
        <v>130</v>
      </c>
      <c r="H3" s="152" t="s">
        <v>131</v>
      </c>
      <c r="J3" s="151" t="s">
        <v>130</v>
      </c>
      <c r="K3" s="152" t="s">
        <v>131</v>
      </c>
      <c r="M3" s="132" t="s">
        <v>130</v>
      </c>
      <c r="N3" s="133" t="s">
        <v>131</v>
      </c>
      <c r="P3" s="132" t="s">
        <v>130</v>
      </c>
      <c r="Q3" s="133" t="s">
        <v>131</v>
      </c>
      <c r="S3" s="132" t="s">
        <v>130</v>
      </c>
      <c r="T3" s="133" t="s">
        <v>131</v>
      </c>
      <c r="V3" s="96" t="s">
        <v>130</v>
      </c>
      <c r="W3" s="95" t="s">
        <v>131</v>
      </c>
      <c r="Y3" s="96" t="s">
        <v>130</v>
      </c>
      <c r="Z3" s="95" t="s">
        <v>131</v>
      </c>
      <c r="AB3" s="96" t="s">
        <v>130</v>
      </c>
      <c r="AC3" s="95" t="s">
        <v>131</v>
      </c>
      <c r="AE3" s="96" t="s">
        <v>130</v>
      </c>
      <c r="AF3" s="95" t="s">
        <v>131</v>
      </c>
      <c r="AG3" s="34"/>
      <c r="AH3" s="96" t="s">
        <v>130</v>
      </c>
      <c r="AI3" s="95" t="s">
        <v>131</v>
      </c>
      <c r="AK3" s="128" t="s">
        <v>130</v>
      </c>
      <c r="AL3" s="129" t="s">
        <v>131</v>
      </c>
      <c r="AN3" s="96" t="s">
        <v>130</v>
      </c>
      <c r="AO3" s="95" t="s">
        <v>131</v>
      </c>
      <c r="AQ3" s="196" t="s">
        <v>130</v>
      </c>
      <c r="AR3" s="142" t="s">
        <v>131</v>
      </c>
      <c r="AT3" s="197" t="s">
        <v>130</v>
      </c>
      <c r="AU3" s="129" t="s">
        <v>131</v>
      </c>
      <c r="AW3" s="96" t="s">
        <v>130</v>
      </c>
      <c r="AX3" s="95" t="s">
        <v>131</v>
      </c>
      <c r="AZ3" s="96" t="s">
        <v>130</v>
      </c>
      <c r="BA3" s="95" t="s">
        <v>131</v>
      </c>
      <c r="BC3" s="139" t="s">
        <v>130</v>
      </c>
      <c r="BD3" s="95" t="s">
        <v>131</v>
      </c>
    </row>
    <row r="4" spans="1:57" x14ac:dyDescent="0.25">
      <c r="A4" s="167" t="s">
        <v>132</v>
      </c>
      <c r="B4" s="4"/>
      <c r="D4" s="137"/>
      <c r="E4" s="148"/>
      <c r="F4" s="39"/>
      <c r="G4" s="138"/>
      <c r="H4" s="138"/>
      <c r="J4" s="154"/>
      <c r="K4" s="154"/>
      <c r="M4" s="123"/>
      <c r="N4" s="123"/>
      <c r="P4" s="123"/>
      <c r="Q4" s="123"/>
      <c r="S4" s="140"/>
      <c r="T4" s="140"/>
      <c r="V4" s="75"/>
      <c r="AK4" s="131"/>
      <c r="AL4" s="131"/>
      <c r="AQ4" s="143"/>
      <c r="AR4" s="143"/>
      <c r="AT4" s="131"/>
      <c r="AU4" s="131"/>
    </row>
    <row r="5" spans="1:57" x14ac:dyDescent="0.25">
      <c r="A5" t="s">
        <v>133</v>
      </c>
      <c r="D5" s="162">
        <f>ROUND('AMT Standard re Jan25'!D5+'AMT Inc Cruise re Jan25'!$B$57,2)</f>
        <v>33.54</v>
      </c>
      <c r="E5" s="162">
        <f>ROUND('AMT Standard re Jan25'!E5+'AMT Inc Cruise re Jan25'!$B$58,2)</f>
        <v>46.54</v>
      </c>
      <c r="F5" s="81"/>
      <c r="G5" s="153">
        <f t="shared" ref="G5:H8" si="0">D5*SUM(1+$G$1/$Y$1)</f>
        <v>39.711359999999999</v>
      </c>
      <c r="H5" s="153">
        <f t="shared" si="0"/>
        <v>55.103359999999995</v>
      </c>
      <c r="I5" s="83"/>
      <c r="J5" s="155">
        <f>G5-D5</f>
        <v>6.17136</v>
      </c>
      <c r="K5" s="155">
        <f>H5-E5</f>
        <v>8.5633599999999959</v>
      </c>
      <c r="L5" s="83"/>
      <c r="M5" s="134">
        <f>ROUND(D5*(1+$G$1*2),2)*SUM(1+$M$1)</f>
        <v>43.681000000000004</v>
      </c>
      <c r="N5" s="134">
        <f>ROUND(E5*(1+$G$1*2),2)*SUM(1+$M$1)</f>
        <v>60.610000000000007</v>
      </c>
      <c r="P5" s="134">
        <f>M5-D5</f>
        <v>10.141000000000005</v>
      </c>
      <c r="Q5" s="134">
        <f>N5-E5</f>
        <v>14.070000000000007</v>
      </c>
      <c r="S5" s="141">
        <f t="shared" ref="S5:T8" si="1">AK5/G5</f>
        <v>9.9971393576044745E-2</v>
      </c>
      <c r="T5" s="141">
        <f t="shared" si="1"/>
        <v>9.9993902368204046E-2</v>
      </c>
      <c r="V5" s="41">
        <f t="shared" ref="V5:W8" si="2">SUM(D5/(1-$Y$1))</f>
        <v>67.08</v>
      </c>
      <c r="W5" s="41">
        <f t="shared" si="2"/>
        <v>93.08</v>
      </c>
      <c r="X5" s="82"/>
      <c r="Y5" s="41">
        <f>ROUND(D5/(1-$Y$1)*1.2,2)</f>
        <v>80.5</v>
      </c>
      <c r="Z5" s="41">
        <f>ROUND(E5/(1-$Y$1)*1.2,2)</f>
        <v>111.7</v>
      </c>
      <c r="AB5" s="182">
        <f>ROUNDDOWN(D5/(1-$Y$1)*1.2,1)</f>
        <v>80.400000000000006</v>
      </c>
      <c r="AC5" s="182">
        <f>ROUNDDOWN(E5/(1-$Y$1)*1.2,1)</f>
        <v>111.6</v>
      </c>
      <c r="AE5" s="40">
        <f>AB5/1.2</f>
        <v>67.000000000000014</v>
      </c>
      <c r="AF5" s="40">
        <f>AC5/1.2</f>
        <v>93</v>
      </c>
      <c r="AH5" s="40">
        <f>Y5-AB5</f>
        <v>9.9999999999994316E-2</v>
      </c>
      <c r="AI5" s="40">
        <f>Z5-AC5</f>
        <v>0.10000000000000853</v>
      </c>
      <c r="AK5" s="130">
        <f t="shared" ref="AK5:AL8" si="3">ROUND(M5*(1-(1/(1+$AL$1))),2)</f>
        <v>3.97</v>
      </c>
      <c r="AL5" s="130">
        <f t="shared" si="3"/>
        <v>5.51</v>
      </c>
      <c r="AM5" s="40"/>
      <c r="AN5" s="40">
        <f>SUM(V5-G5)-AH5</f>
        <v>27.268640000000005</v>
      </c>
      <c r="AO5" s="40">
        <f>SUM(W5-H5)-AI5</f>
        <v>37.876639999999995</v>
      </c>
      <c r="AP5" s="40"/>
      <c r="AQ5" s="144">
        <f t="shared" ref="AQ5:AR8" si="4">(SUM(G5-D5)/D5*$Y$1)</f>
        <v>9.1999999999999998E-2</v>
      </c>
      <c r="AR5" s="144">
        <f t="shared" si="4"/>
        <v>9.1999999999999957E-2</v>
      </c>
      <c r="AS5" s="40"/>
      <c r="AT5" s="146">
        <f t="shared" ref="AT5:AU8" si="5">AN5/V5</f>
        <v>0.40650924269528926</v>
      </c>
      <c r="AU5" s="146">
        <f t="shared" si="5"/>
        <v>0.40692565535023628</v>
      </c>
      <c r="AV5" s="40"/>
      <c r="AW5" s="76">
        <f t="shared" ref="AW5:AX8" si="6">D5/V5</f>
        <v>0.5</v>
      </c>
      <c r="AX5" s="76">
        <f t="shared" si="6"/>
        <v>0.5</v>
      </c>
      <c r="AY5" s="42"/>
      <c r="AZ5" s="42">
        <f t="shared" ref="AZ5:BA8" si="7">J5+AN5</f>
        <v>33.440000000000005</v>
      </c>
      <c r="BA5" s="42">
        <f t="shared" si="7"/>
        <v>46.439999999999991</v>
      </c>
      <c r="BB5" s="42"/>
      <c r="BC5" s="76">
        <f t="shared" ref="BC5:BD8" si="8">AZ5/(D5/$Y$1)</f>
        <v>0.49850924269528929</v>
      </c>
      <c r="BD5" s="76">
        <f t="shared" si="8"/>
        <v>0.49892565535023625</v>
      </c>
      <c r="BE5" s="42"/>
    </row>
    <row r="6" spans="1:57" x14ac:dyDescent="0.25">
      <c r="A6" t="s">
        <v>134</v>
      </c>
      <c r="D6" s="162">
        <f>ROUND('AMT Standard re Jan25'!D6+'AMT Inc Cruise re Jan25'!$B$57,2)</f>
        <v>49.41</v>
      </c>
      <c r="E6" s="162">
        <f>ROUND('AMT Standard re Jan25'!E6+'AMT Inc Cruise re Jan25'!$B$58,2)</f>
        <v>68.010000000000005</v>
      </c>
      <c r="F6" s="81"/>
      <c r="G6" s="153">
        <f t="shared" si="0"/>
        <v>58.501439999999995</v>
      </c>
      <c r="H6" s="153">
        <f t="shared" si="0"/>
        <v>80.523840000000007</v>
      </c>
      <c r="I6" s="83"/>
      <c r="J6" s="155">
        <f>G6-D6</f>
        <v>9.0914399999999986</v>
      </c>
      <c r="K6" s="155">
        <f>H6-E6</f>
        <v>12.513840000000002</v>
      </c>
      <c r="L6" s="83"/>
      <c r="M6" s="134">
        <f t="shared" ref="M6:N8" si="9">ROUND(D6*(1+$G$1*2),2)*SUM(1+$M$1)</f>
        <v>64.350000000000009</v>
      </c>
      <c r="N6" s="134">
        <f t="shared" si="9"/>
        <v>88.572000000000003</v>
      </c>
      <c r="P6" s="134">
        <f>M6-D6</f>
        <v>14.940000000000012</v>
      </c>
      <c r="Q6" s="134">
        <f>N6-E6</f>
        <v>20.561999999999998</v>
      </c>
      <c r="S6" s="141">
        <f t="shared" si="1"/>
        <v>9.9997538522128684E-2</v>
      </c>
      <c r="T6" s="141">
        <f t="shared" si="1"/>
        <v>9.997039386099818E-2</v>
      </c>
      <c r="V6" s="41">
        <f t="shared" si="2"/>
        <v>98.82</v>
      </c>
      <c r="W6" s="41">
        <f t="shared" si="2"/>
        <v>136.02000000000001</v>
      </c>
      <c r="X6" s="82"/>
      <c r="Y6" s="41">
        <f t="shared" ref="Y6:Z8" si="10">ROUND(D6/(1-$Y$1)*1.2,2)</f>
        <v>118.58</v>
      </c>
      <c r="Z6" s="41">
        <f t="shared" si="10"/>
        <v>163.22</v>
      </c>
      <c r="AB6" s="182">
        <f t="shared" ref="AB6:AC8" si="11">ROUNDDOWN(D6/(1-$Y$1)*1.2,1)</f>
        <v>118.5</v>
      </c>
      <c r="AC6" s="182">
        <f t="shared" si="11"/>
        <v>163.19999999999999</v>
      </c>
      <c r="AE6" s="40">
        <f t="shared" ref="AE6:AF8" si="12">AB6/1.2</f>
        <v>98.75</v>
      </c>
      <c r="AF6" s="40">
        <f t="shared" si="12"/>
        <v>136</v>
      </c>
      <c r="AH6" s="40">
        <f t="shared" ref="AH6:AI8" si="13">Y6-AB6</f>
        <v>7.9999999999998295E-2</v>
      </c>
      <c r="AI6" s="40">
        <f t="shared" si="13"/>
        <v>2.0000000000010232E-2</v>
      </c>
      <c r="AK6" s="130">
        <f t="shared" si="3"/>
        <v>5.85</v>
      </c>
      <c r="AL6" s="130">
        <f t="shared" si="3"/>
        <v>8.0500000000000007</v>
      </c>
      <c r="AM6" s="40"/>
      <c r="AN6" s="40">
        <f t="shared" ref="AN6:AN8" si="14">SUM(V6-G6)-AH6</f>
        <v>40.23856</v>
      </c>
      <c r="AO6" s="40">
        <f t="shared" ref="AO6:AO8" si="15">SUM(W6-H6)-AI6</f>
        <v>55.476159999999993</v>
      </c>
      <c r="AP6" s="40"/>
      <c r="AQ6" s="144">
        <f t="shared" si="4"/>
        <v>9.1999999999999998E-2</v>
      </c>
      <c r="AR6" s="144">
        <f t="shared" si="4"/>
        <v>9.2000000000000012E-2</v>
      </c>
      <c r="AS6" s="40"/>
      <c r="AT6" s="146">
        <f t="shared" si="5"/>
        <v>0.40719044727787901</v>
      </c>
      <c r="AU6" s="146">
        <f t="shared" si="5"/>
        <v>0.40785296279958821</v>
      </c>
      <c r="AV6" s="40"/>
      <c r="AW6" s="76">
        <f t="shared" si="6"/>
        <v>0.5</v>
      </c>
      <c r="AX6" s="76">
        <f t="shared" si="6"/>
        <v>0.5</v>
      </c>
      <c r="AY6" s="42"/>
      <c r="AZ6" s="42">
        <f t="shared" si="7"/>
        <v>49.33</v>
      </c>
      <c r="BA6" s="42">
        <f t="shared" si="7"/>
        <v>67.989999999999995</v>
      </c>
      <c r="BB6" s="42"/>
      <c r="BC6" s="76">
        <f t="shared" si="8"/>
        <v>0.49919044727787898</v>
      </c>
      <c r="BD6" s="76">
        <f t="shared" si="8"/>
        <v>0.49985296279958824</v>
      </c>
      <c r="BE6" s="42"/>
    </row>
    <row r="7" spans="1:57" x14ac:dyDescent="0.25">
      <c r="A7" t="s">
        <v>135</v>
      </c>
      <c r="D7" s="162">
        <f>ROUND('AMT Standard re Jan25'!D7+'AMT Inc Cruise re Jan25'!$B$57,2)</f>
        <v>55.05</v>
      </c>
      <c r="E7" s="162">
        <f>ROUND('AMT Standard re Jan25'!E7+'AMT Inc Cruise re Jan25'!$B$58,2)</f>
        <v>77.34</v>
      </c>
      <c r="F7" s="81"/>
      <c r="G7" s="153">
        <f t="shared" si="0"/>
        <v>65.179199999999994</v>
      </c>
      <c r="H7" s="153">
        <f t="shared" si="0"/>
        <v>91.57056</v>
      </c>
      <c r="J7" s="155">
        <f t="shared" ref="J7:K8" si="16">G7-D7</f>
        <v>10.129199999999997</v>
      </c>
      <c r="K7" s="155">
        <f t="shared" si="16"/>
        <v>14.230559999999997</v>
      </c>
      <c r="M7" s="134">
        <f t="shared" si="9"/>
        <v>71.698000000000008</v>
      </c>
      <c r="N7" s="134">
        <f t="shared" si="9"/>
        <v>100.727</v>
      </c>
      <c r="P7" s="134">
        <f t="shared" ref="P7:Q8" si="17">M7-D7</f>
        <v>16.64800000000001</v>
      </c>
      <c r="Q7" s="134">
        <f t="shared" si="17"/>
        <v>23.387</v>
      </c>
      <c r="S7" s="141">
        <f t="shared" si="1"/>
        <v>0.10003191202101284</v>
      </c>
      <c r="T7" s="141">
        <f t="shared" si="1"/>
        <v>0.10003215007093984</v>
      </c>
      <c r="V7" s="41">
        <f t="shared" si="2"/>
        <v>110.1</v>
      </c>
      <c r="W7" s="41">
        <f t="shared" si="2"/>
        <v>154.68</v>
      </c>
      <c r="Y7" s="41">
        <f t="shared" si="10"/>
        <v>132.12</v>
      </c>
      <c r="Z7" s="41">
        <f t="shared" si="10"/>
        <v>185.62</v>
      </c>
      <c r="AB7" s="182">
        <f t="shared" si="11"/>
        <v>132.1</v>
      </c>
      <c r="AC7" s="182">
        <f t="shared" si="11"/>
        <v>185.6</v>
      </c>
      <c r="AE7" s="40">
        <f t="shared" si="12"/>
        <v>110.08333333333333</v>
      </c>
      <c r="AF7" s="40">
        <f t="shared" si="12"/>
        <v>154.66666666666666</v>
      </c>
      <c r="AH7" s="40">
        <f t="shared" si="13"/>
        <v>2.0000000000010232E-2</v>
      </c>
      <c r="AI7" s="40">
        <f t="shared" si="13"/>
        <v>2.0000000000010232E-2</v>
      </c>
      <c r="AK7" s="130">
        <f t="shared" si="3"/>
        <v>6.52</v>
      </c>
      <c r="AL7" s="130">
        <f t="shared" si="3"/>
        <v>9.16</v>
      </c>
      <c r="AM7" s="40"/>
      <c r="AN7" s="40">
        <f t="shared" si="14"/>
        <v>44.90079999999999</v>
      </c>
      <c r="AO7" s="40">
        <f t="shared" si="15"/>
        <v>63.089439999999996</v>
      </c>
      <c r="AP7" s="40"/>
      <c r="AQ7" s="144">
        <f t="shared" si="4"/>
        <v>9.1999999999999985E-2</v>
      </c>
      <c r="AR7" s="144">
        <f t="shared" si="4"/>
        <v>9.1999999999999971E-2</v>
      </c>
      <c r="AS7" s="40"/>
      <c r="AT7" s="146">
        <f t="shared" si="5"/>
        <v>0.40781834695731145</v>
      </c>
      <c r="AU7" s="146">
        <f t="shared" si="5"/>
        <v>0.407870700801655</v>
      </c>
      <c r="AV7" s="40"/>
      <c r="AW7" s="76">
        <f t="shared" si="6"/>
        <v>0.5</v>
      </c>
      <c r="AX7" s="76">
        <f t="shared" si="6"/>
        <v>0.5</v>
      </c>
      <c r="AY7" s="42"/>
      <c r="AZ7" s="42">
        <f t="shared" si="7"/>
        <v>55.029999999999987</v>
      </c>
      <c r="BA7" s="42">
        <f t="shared" si="7"/>
        <v>77.319999999999993</v>
      </c>
      <c r="BB7" s="42"/>
      <c r="BC7" s="76">
        <f t="shared" si="8"/>
        <v>0.49981834695731142</v>
      </c>
      <c r="BD7" s="76">
        <f t="shared" si="8"/>
        <v>0.49987070080165497</v>
      </c>
      <c r="BE7" s="42"/>
    </row>
    <row r="8" spans="1:57" x14ac:dyDescent="0.25">
      <c r="A8" t="s">
        <v>136</v>
      </c>
      <c r="D8" s="162">
        <f>ROUND('AMT Standard re Jan25'!D8+'AMT Inc Cruise re Jan25'!$B$57,2)</f>
        <v>57.31</v>
      </c>
      <c r="E8" s="162">
        <f>ROUND('AMT Standard re Jan25'!E8+'AMT Inc Cruise re Jan25'!$B$58,2)</f>
        <v>79.63</v>
      </c>
      <c r="F8" s="81"/>
      <c r="G8" s="153">
        <f t="shared" si="0"/>
        <v>67.855040000000002</v>
      </c>
      <c r="H8" s="153">
        <f t="shared" si="0"/>
        <v>94.281919999999985</v>
      </c>
      <c r="J8" s="155">
        <f t="shared" si="16"/>
        <v>10.54504</v>
      </c>
      <c r="K8" s="155">
        <f t="shared" si="16"/>
        <v>14.65191999999999</v>
      </c>
      <c r="M8" s="134">
        <f t="shared" si="9"/>
        <v>74.646000000000001</v>
      </c>
      <c r="N8" s="134">
        <f t="shared" si="9"/>
        <v>103.70800000000001</v>
      </c>
      <c r="P8" s="134">
        <f t="shared" si="17"/>
        <v>17.335999999999999</v>
      </c>
      <c r="Q8" s="134">
        <f t="shared" si="17"/>
        <v>24.078000000000017</v>
      </c>
      <c r="S8" s="141">
        <f t="shared" si="1"/>
        <v>0.10006625889543355</v>
      </c>
      <c r="T8" s="141">
        <f t="shared" si="1"/>
        <v>0.1000191765292858</v>
      </c>
      <c r="V8" s="41">
        <f t="shared" si="2"/>
        <v>114.62</v>
      </c>
      <c r="W8" s="41">
        <f t="shared" si="2"/>
        <v>159.26</v>
      </c>
      <c r="Y8" s="41">
        <f t="shared" si="10"/>
        <v>137.54</v>
      </c>
      <c r="Z8" s="41">
        <f t="shared" si="10"/>
        <v>191.11</v>
      </c>
      <c r="AB8" s="182">
        <f t="shared" si="11"/>
        <v>137.5</v>
      </c>
      <c r="AC8" s="182">
        <f t="shared" si="11"/>
        <v>191.1</v>
      </c>
      <c r="AE8" s="40">
        <f t="shared" si="12"/>
        <v>114.58333333333334</v>
      </c>
      <c r="AF8" s="40">
        <f t="shared" si="12"/>
        <v>159.25</v>
      </c>
      <c r="AH8" s="40">
        <f t="shared" si="13"/>
        <v>3.9999999999992042E-2</v>
      </c>
      <c r="AI8" s="40">
        <f t="shared" si="13"/>
        <v>1.0000000000019327E-2</v>
      </c>
      <c r="AK8" s="130">
        <f t="shared" si="3"/>
        <v>6.79</v>
      </c>
      <c r="AL8" s="130">
        <f t="shared" si="3"/>
        <v>9.43</v>
      </c>
      <c r="AM8" s="40"/>
      <c r="AN8" s="40">
        <f t="shared" si="14"/>
        <v>46.72496000000001</v>
      </c>
      <c r="AO8" s="40">
        <f t="shared" si="15"/>
        <v>64.968079999999986</v>
      </c>
      <c r="AP8" s="40"/>
      <c r="AQ8" s="144">
        <f t="shared" si="4"/>
        <v>9.1999999999999998E-2</v>
      </c>
      <c r="AR8" s="144">
        <f t="shared" si="4"/>
        <v>9.1999999999999943E-2</v>
      </c>
      <c r="AS8" s="40"/>
      <c r="AT8" s="146">
        <f t="shared" si="5"/>
        <v>0.40765102076426457</v>
      </c>
      <c r="AU8" s="146">
        <f t="shared" si="5"/>
        <v>0.40793720959437391</v>
      </c>
      <c r="AV8" s="40"/>
      <c r="AW8" s="76">
        <f t="shared" si="6"/>
        <v>0.5</v>
      </c>
      <c r="AX8" s="76">
        <f t="shared" si="6"/>
        <v>0.5</v>
      </c>
      <c r="AY8" s="42"/>
      <c r="AZ8" s="42">
        <f t="shared" si="7"/>
        <v>57.27000000000001</v>
      </c>
      <c r="BA8" s="42">
        <f t="shared" si="7"/>
        <v>79.619999999999976</v>
      </c>
      <c r="BB8" s="42"/>
      <c r="BC8" s="76">
        <f t="shared" si="8"/>
        <v>0.4996510207642646</v>
      </c>
      <c r="BD8" s="76">
        <f t="shared" si="8"/>
        <v>0.49993720959437388</v>
      </c>
      <c r="BE8" s="42"/>
    </row>
    <row r="9" spans="1:57" x14ac:dyDescent="0.25">
      <c r="A9"/>
      <c r="D9" s="162"/>
      <c r="E9" s="162"/>
      <c r="F9" s="41"/>
      <c r="G9" s="153"/>
      <c r="H9" s="153"/>
      <c r="I9" s="75"/>
      <c r="J9" s="156"/>
      <c r="K9" s="156"/>
      <c r="L9" s="75"/>
      <c r="M9" s="134"/>
      <c r="N9" s="134"/>
      <c r="P9" s="134"/>
      <c r="Q9" s="134"/>
      <c r="S9" s="140"/>
      <c r="T9" s="140"/>
      <c r="V9" s="40"/>
      <c r="W9" s="40"/>
      <c r="Y9" s="41"/>
      <c r="Z9" s="41"/>
      <c r="AK9" s="130"/>
      <c r="AL9" s="130"/>
      <c r="AM9" s="40"/>
      <c r="AN9" s="40"/>
      <c r="AO9" s="40"/>
      <c r="AP9" s="40"/>
      <c r="AQ9" s="145"/>
      <c r="AR9" s="145"/>
      <c r="AS9" s="40"/>
      <c r="AT9" s="146"/>
      <c r="AU9" s="146"/>
      <c r="AV9" s="40"/>
      <c r="AW9" s="76"/>
      <c r="AX9" s="76"/>
      <c r="AY9" s="42"/>
      <c r="AZ9" s="42"/>
      <c r="BA9" s="42"/>
      <c r="BB9" s="42"/>
      <c r="BC9" s="76"/>
      <c r="BD9" s="76"/>
      <c r="BE9" s="42"/>
    </row>
    <row r="10" spans="1:57" x14ac:dyDescent="0.25">
      <c r="A10" s="167" t="s">
        <v>137</v>
      </c>
      <c r="B10" s="4"/>
      <c r="D10" s="162"/>
      <c r="E10" s="162"/>
      <c r="F10" s="41"/>
      <c r="G10" s="153"/>
      <c r="H10" s="153"/>
      <c r="J10" s="154"/>
      <c r="K10" s="154"/>
      <c r="M10" s="134"/>
      <c r="N10" s="134"/>
      <c r="P10" s="134"/>
      <c r="Q10" s="134"/>
      <c r="S10" s="140"/>
      <c r="T10" s="140"/>
      <c r="V10" s="40"/>
      <c r="W10" s="40"/>
      <c r="Y10" s="41"/>
      <c r="Z10" s="41"/>
      <c r="AK10" s="130"/>
      <c r="AL10" s="130"/>
      <c r="AM10" s="40"/>
      <c r="AN10" s="40"/>
      <c r="AO10" s="40"/>
      <c r="AP10" s="40"/>
      <c r="AQ10" s="145"/>
      <c r="AR10" s="145"/>
      <c r="AS10" s="40"/>
      <c r="AT10" s="146"/>
      <c r="AU10" s="146"/>
      <c r="AV10" s="40"/>
      <c r="AW10" s="76"/>
      <c r="AX10" s="76"/>
      <c r="AY10" s="42"/>
      <c r="AZ10" s="42"/>
      <c r="BA10" s="42"/>
      <c r="BB10" s="42"/>
      <c r="BC10" s="76"/>
      <c r="BD10" s="76"/>
      <c r="BE10" s="42"/>
    </row>
    <row r="11" spans="1:57" x14ac:dyDescent="0.25">
      <c r="A11" t="s">
        <v>133</v>
      </c>
      <c r="D11" s="162">
        <f>ROUND('AMT Standard re Jan25'!D11+'AMT Inc Cruise re Jan25'!$B$57,2)</f>
        <v>33.54</v>
      </c>
      <c r="E11" s="162">
        <f>ROUND('AMT Standard re Jan25'!E11+'AMT Inc Cruise re Jan25'!$B$58,2)</f>
        <v>46.54</v>
      </c>
      <c r="F11" s="81"/>
      <c r="G11" s="153">
        <f t="shared" ref="G11:H14" si="18">D11*SUM(1+$G$1/$Y$1)</f>
        <v>39.711359999999999</v>
      </c>
      <c r="H11" s="153">
        <f t="shared" si="18"/>
        <v>55.103359999999995</v>
      </c>
      <c r="J11" s="155">
        <f t="shared" ref="J11:K14" si="19">G11-D11</f>
        <v>6.17136</v>
      </c>
      <c r="K11" s="155">
        <f t="shared" si="19"/>
        <v>8.5633599999999959</v>
      </c>
      <c r="M11" s="134">
        <f>ROUND(D11*(1+$G$1*2),2)*SUM(1+$M$1)</f>
        <v>43.681000000000004</v>
      </c>
      <c r="N11" s="134">
        <f>ROUND(E11*(1+$G$1*2),2)*SUM(1+$M$1)</f>
        <v>60.610000000000007</v>
      </c>
      <c r="P11" s="134">
        <f t="shared" ref="P11:Q14" si="20">M11-D11</f>
        <v>10.141000000000005</v>
      </c>
      <c r="Q11" s="134">
        <f t="shared" si="20"/>
        <v>14.070000000000007</v>
      </c>
      <c r="S11" s="141">
        <f t="shared" ref="S11:T14" si="21">AK11/G11</f>
        <v>9.9971393576044745E-2</v>
      </c>
      <c r="T11" s="141">
        <f t="shared" si="21"/>
        <v>9.9993902368204046E-2</v>
      </c>
      <c r="V11" s="41">
        <f t="shared" ref="V11:W14" si="22">SUM(D11/(1-$Y$1))</f>
        <v>67.08</v>
      </c>
      <c r="W11" s="41">
        <f t="shared" si="22"/>
        <v>93.08</v>
      </c>
      <c r="Y11" s="41">
        <f>ROUND(D11/(1-$Y$1)*1.2,2)</f>
        <v>80.5</v>
      </c>
      <c r="Z11" s="41">
        <f>ROUND(E11/(1-$Y$1)*1.2,2)</f>
        <v>111.7</v>
      </c>
      <c r="AB11" s="182">
        <f t="shared" ref="AB11:AC14" si="23">ROUNDDOWN(D11/(1-$Y$1)*1.2,1)</f>
        <v>80.400000000000006</v>
      </c>
      <c r="AC11" s="182">
        <f t="shared" si="23"/>
        <v>111.6</v>
      </c>
      <c r="AE11" s="40">
        <f t="shared" ref="AE11:AF14" si="24">AB11/1.2</f>
        <v>67.000000000000014</v>
      </c>
      <c r="AF11" s="40">
        <f t="shared" si="24"/>
        <v>93</v>
      </c>
      <c r="AH11" s="40">
        <f t="shared" ref="AH11:AI14" si="25">Y11-AB11</f>
        <v>9.9999999999994316E-2</v>
      </c>
      <c r="AI11" s="40">
        <f t="shared" si="25"/>
        <v>0.10000000000000853</v>
      </c>
      <c r="AK11" s="130">
        <f t="shared" ref="AK11:AL14" si="26">ROUND(M11*(1-(1/(1+$AL$1))),2)</f>
        <v>3.97</v>
      </c>
      <c r="AL11" s="130">
        <f t="shared" si="26"/>
        <v>5.51</v>
      </c>
      <c r="AM11" s="40"/>
      <c r="AN11" s="40">
        <f t="shared" ref="AN11:AN14" si="27">SUM(V11-G11)-AH11</f>
        <v>27.268640000000005</v>
      </c>
      <c r="AO11" s="40">
        <f t="shared" ref="AO11:AO14" si="28">SUM(W11-H11)-AI11</f>
        <v>37.876639999999995</v>
      </c>
      <c r="AP11" s="40"/>
      <c r="AQ11" s="144">
        <f t="shared" ref="AQ11:AR14" si="29">(SUM(G11-D11)/D11*$Y$1)</f>
        <v>9.1999999999999998E-2</v>
      </c>
      <c r="AR11" s="144">
        <f t="shared" si="29"/>
        <v>9.1999999999999957E-2</v>
      </c>
      <c r="AS11" s="40"/>
      <c r="AT11" s="146">
        <f t="shared" ref="AT11:AU14" si="30">AN11/V11</f>
        <v>0.40650924269528926</v>
      </c>
      <c r="AU11" s="146">
        <f t="shared" si="30"/>
        <v>0.40692565535023628</v>
      </c>
      <c r="AV11" s="40"/>
      <c r="AW11" s="76">
        <f t="shared" ref="AW11:AX14" si="31">D11/V11</f>
        <v>0.5</v>
      </c>
      <c r="AX11" s="76">
        <f t="shared" si="31"/>
        <v>0.5</v>
      </c>
      <c r="AY11" s="42"/>
      <c r="AZ11" s="42">
        <f t="shared" ref="AZ11:BA14" si="32">J11+AN11</f>
        <v>33.440000000000005</v>
      </c>
      <c r="BA11" s="42">
        <f t="shared" si="32"/>
        <v>46.439999999999991</v>
      </c>
      <c r="BB11" s="42"/>
      <c r="BC11" s="76">
        <f t="shared" ref="BC11:BD14" si="33">AZ11/(D11/$Y$1)</f>
        <v>0.49850924269528929</v>
      </c>
      <c r="BD11" s="76">
        <f t="shared" si="33"/>
        <v>0.49892565535023625</v>
      </c>
      <c r="BE11" s="42"/>
    </row>
    <row r="12" spans="1:57" x14ac:dyDescent="0.25">
      <c r="A12" t="s">
        <v>134</v>
      </c>
      <c r="D12" s="162">
        <f>ROUND('AMT Standard re Jan25'!D12+'AMT Inc Cruise re Jan25'!$B$57,2)</f>
        <v>49.41</v>
      </c>
      <c r="E12" s="162">
        <f>ROUND('AMT Standard re Jan25'!E12+'AMT Inc Cruise re Jan25'!$B$58,2)</f>
        <v>68.010000000000005</v>
      </c>
      <c r="F12" s="81"/>
      <c r="G12" s="153">
        <f t="shared" si="18"/>
        <v>58.501439999999995</v>
      </c>
      <c r="H12" s="153">
        <f t="shared" si="18"/>
        <v>80.523840000000007</v>
      </c>
      <c r="J12" s="155">
        <f t="shared" si="19"/>
        <v>9.0914399999999986</v>
      </c>
      <c r="K12" s="155">
        <f t="shared" si="19"/>
        <v>12.513840000000002</v>
      </c>
      <c r="M12" s="134">
        <f>ROUND(D12*(1+$G$1*2),2)*SUM(1+$M$1)</f>
        <v>64.350000000000009</v>
      </c>
      <c r="N12" s="134">
        <f t="shared" ref="M12:N14" si="34">ROUND(E12*(1+$G$1*2),2)*SUM(1+$M$1)</f>
        <v>88.572000000000003</v>
      </c>
      <c r="P12" s="134">
        <f t="shared" si="20"/>
        <v>14.940000000000012</v>
      </c>
      <c r="Q12" s="134">
        <f t="shared" si="20"/>
        <v>20.561999999999998</v>
      </c>
      <c r="S12" s="141">
        <f t="shared" si="21"/>
        <v>9.9997538522128684E-2</v>
      </c>
      <c r="T12" s="141">
        <f t="shared" si="21"/>
        <v>9.997039386099818E-2</v>
      </c>
      <c r="V12" s="41">
        <f t="shared" si="22"/>
        <v>98.82</v>
      </c>
      <c r="W12" s="41">
        <f t="shared" si="22"/>
        <v>136.02000000000001</v>
      </c>
      <c r="Y12" s="41">
        <f t="shared" ref="Y12:Z14" si="35">ROUND(D12/(1-$Y$1)*1.2,2)</f>
        <v>118.58</v>
      </c>
      <c r="Z12" s="41">
        <f t="shared" si="35"/>
        <v>163.22</v>
      </c>
      <c r="AB12" s="182">
        <f t="shared" si="23"/>
        <v>118.5</v>
      </c>
      <c r="AC12" s="182">
        <f t="shared" si="23"/>
        <v>163.19999999999999</v>
      </c>
      <c r="AE12" s="40">
        <f t="shared" si="24"/>
        <v>98.75</v>
      </c>
      <c r="AF12" s="40">
        <f t="shared" si="24"/>
        <v>136</v>
      </c>
      <c r="AH12" s="40">
        <f t="shared" si="25"/>
        <v>7.9999999999998295E-2</v>
      </c>
      <c r="AI12" s="40">
        <f t="shared" si="25"/>
        <v>2.0000000000010232E-2</v>
      </c>
      <c r="AK12" s="130">
        <f t="shared" si="26"/>
        <v>5.85</v>
      </c>
      <c r="AL12" s="130">
        <f t="shared" si="26"/>
        <v>8.0500000000000007</v>
      </c>
      <c r="AM12" s="40"/>
      <c r="AN12" s="40">
        <f t="shared" si="27"/>
        <v>40.23856</v>
      </c>
      <c r="AO12" s="40">
        <f t="shared" si="28"/>
        <v>55.476159999999993</v>
      </c>
      <c r="AP12" s="40"/>
      <c r="AQ12" s="144">
        <f t="shared" si="29"/>
        <v>9.1999999999999998E-2</v>
      </c>
      <c r="AR12" s="144">
        <f t="shared" si="29"/>
        <v>9.2000000000000012E-2</v>
      </c>
      <c r="AS12" s="40"/>
      <c r="AT12" s="146">
        <f t="shared" si="30"/>
        <v>0.40719044727787901</v>
      </c>
      <c r="AU12" s="146">
        <f t="shared" si="30"/>
        <v>0.40785296279958821</v>
      </c>
      <c r="AV12" s="40"/>
      <c r="AW12" s="76">
        <f t="shared" si="31"/>
        <v>0.5</v>
      </c>
      <c r="AX12" s="76">
        <f t="shared" si="31"/>
        <v>0.5</v>
      </c>
      <c r="AY12" s="42"/>
      <c r="AZ12" s="42">
        <f t="shared" si="32"/>
        <v>49.33</v>
      </c>
      <c r="BA12" s="42">
        <f t="shared" si="32"/>
        <v>67.989999999999995</v>
      </c>
      <c r="BB12" s="42"/>
      <c r="BC12" s="76">
        <f t="shared" si="33"/>
        <v>0.49919044727787898</v>
      </c>
      <c r="BD12" s="76">
        <f t="shared" si="33"/>
        <v>0.49985296279958824</v>
      </c>
      <c r="BE12" s="42"/>
    </row>
    <row r="13" spans="1:57" x14ac:dyDescent="0.25">
      <c r="A13" t="s">
        <v>135</v>
      </c>
      <c r="D13" s="162">
        <f>ROUND('AMT Standard re Jan25'!D13+'AMT Inc Cruise re Jan25'!$B$57,2)</f>
        <v>55.05</v>
      </c>
      <c r="E13" s="162">
        <f>ROUND('AMT Standard re Jan25'!E13+'AMT Inc Cruise re Jan25'!$B$58,2)</f>
        <v>77.34</v>
      </c>
      <c r="F13" s="81"/>
      <c r="G13" s="153">
        <f t="shared" si="18"/>
        <v>65.179199999999994</v>
      </c>
      <c r="H13" s="153">
        <f t="shared" si="18"/>
        <v>91.57056</v>
      </c>
      <c r="J13" s="155">
        <f t="shared" si="19"/>
        <v>10.129199999999997</v>
      </c>
      <c r="K13" s="155">
        <f t="shared" si="19"/>
        <v>14.230559999999997</v>
      </c>
      <c r="M13" s="134">
        <f t="shared" si="34"/>
        <v>71.698000000000008</v>
      </c>
      <c r="N13" s="134">
        <f t="shared" si="34"/>
        <v>100.727</v>
      </c>
      <c r="P13" s="134">
        <f t="shared" si="20"/>
        <v>16.64800000000001</v>
      </c>
      <c r="Q13" s="134">
        <f t="shared" si="20"/>
        <v>23.387</v>
      </c>
      <c r="S13" s="141">
        <f t="shared" si="21"/>
        <v>0.10003191202101284</v>
      </c>
      <c r="T13" s="141">
        <f t="shared" si="21"/>
        <v>0.10003215007093984</v>
      </c>
      <c r="V13" s="41">
        <f t="shared" si="22"/>
        <v>110.1</v>
      </c>
      <c r="W13" s="41">
        <f t="shared" si="22"/>
        <v>154.68</v>
      </c>
      <c r="Y13" s="41">
        <f t="shared" si="35"/>
        <v>132.12</v>
      </c>
      <c r="Z13" s="41">
        <f t="shared" si="35"/>
        <v>185.62</v>
      </c>
      <c r="AB13" s="182">
        <f t="shared" si="23"/>
        <v>132.1</v>
      </c>
      <c r="AC13" s="182">
        <f t="shared" si="23"/>
        <v>185.6</v>
      </c>
      <c r="AE13" s="40">
        <f t="shared" si="24"/>
        <v>110.08333333333333</v>
      </c>
      <c r="AF13" s="40">
        <f t="shared" si="24"/>
        <v>154.66666666666666</v>
      </c>
      <c r="AH13" s="40">
        <f t="shared" si="25"/>
        <v>2.0000000000010232E-2</v>
      </c>
      <c r="AI13" s="40">
        <f t="shared" si="25"/>
        <v>2.0000000000010232E-2</v>
      </c>
      <c r="AK13" s="130">
        <f t="shared" si="26"/>
        <v>6.52</v>
      </c>
      <c r="AL13" s="130">
        <f t="shared" si="26"/>
        <v>9.16</v>
      </c>
      <c r="AM13" s="40"/>
      <c r="AN13" s="40">
        <f t="shared" si="27"/>
        <v>44.90079999999999</v>
      </c>
      <c r="AO13" s="40">
        <f t="shared" si="28"/>
        <v>63.089439999999996</v>
      </c>
      <c r="AP13" s="40"/>
      <c r="AQ13" s="144">
        <f t="shared" si="29"/>
        <v>9.1999999999999985E-2</v>
      </c>
      <c r="AR13" s="144">
        <f t="shared" si="29"/>
        <v>9.1999999999999971E-2</v>
      </c>
      <c r="AS13" s="40"/>
      <c r="AT13" s="146">
        <f t="shared" si="30"/>
        <v>0.40781834695731145</v>
      </c>
      <c r="AU13" s="146">
        <f t="shared" si="30"/>
        <v>0.407870700801655</v>
      </c>
      <c r="AV13" s="40"/>
      <c r="AW13" s="76">
        <f t="shared" si="31"/>
        <v>0.5</v>
      </c>
      <c r="AX13" s="76">
        <f t="shared" si="31"/>
        <v>0.5</v>
      </c>
      <c r="AY13" s="42"/>
      <c r="AZ13" s="42">
        <f t="shared" si="32"/>
        <v>55.029999999999987</v>
      </c>
      <c r="BA13" s="42">
        <f t="shared" si="32"/>
        <v>77.319999999999993</v>
      </c>
      <c r="BB13" s="42"/>
      <c r="BC13" s="76">
        <f t="shared" si="33"/>
        <v>0.49981834695731142</v>
      </c>
      <c r="BD13" s="76">
        <f t="shared" si="33"/>
        <v>0.49987070080165497</v>
      </c>
      <c r="BE13" s="42"/>
    </row>
    <row r="14" spans="1:57" x14ac:dyDescent="0.25">
      <c r="A14" t="s">
        <v>136</v>
      </c>
      <c r="D14" s="162">
        <f>ROUND('AMT Standard re Jan25'!D14+'AMT Inc Cruise re Jan25'!$B$57,2)</f>
        <v>57.31</v>
      </c>
      <c r="E14" s="162">
        <f>ROUND('AMT Standard re Jan25'!E14+'AMT Inc Cruise re Jan25'!$B$58,2)</f>
        <v>79.63</v>
      </c>
      <c r="F14" s="81"/>
      <c r="G14" s="153">
        <f t="shared" si="18"/>
        <v>67.855040000000002</v>
      </c>
      <c r="H14" s="153">
        <f t="shared" si="18"/>
        <v>94.281919999999985</v>
      </c>
      <c r="J14" s="155">
        <f t="shared" si="19"/>
        <v>10.54504</v>
      </c>
      <c r="K14" s="155">
        <f t="shared" si="19"/>
        <v>14.65191999999999</v>
      </c>
      <c r="M14" s="134">
        <f t="shared" si="34"/>
        <v>74.646000000000001</v>
      </c>
      <c r="N14" s="134">
        <f t="shared" si="34"/>
        <v>103.70800000000001</v>
      </c>
      <c r="P14" s="134">
        <f t="shared" si="20"/>
        <v>17.335999999999999</v>
      </c>
      <c r="Q14" s="134">
        <f t="shared" si="20"/>
        <v>24.078000000000017</v>
      </c>
      <c r="S14" s="141">
        <f t="shared" si="21"/>
        <v>0.10006625889543355</v>
      </c>
      <c r="T14" s="141">
        <f t="shared" si="21"/>
        <v>0.1000191765292858</v>
      </c>
      <c r="V14" s="41">
        <f t="shared" si="22"/>
        <v>114.62</v>
      </c>
      <c r="W14" s="41">
        <f t="shared" si="22"/>
        <v>159.26</v>
      </c>
      <c r="Y14" s="41">
        <f t="shared" si="35"/>
        <v>137.54</v>
      </c>
      <c r="Z14" s="41">
        <f t="shared" si="35"/>
        <v>191.11</v>
      </c>
      <c r="AB14" s="182">
        <f t="shared" si="23"/>
        <v>137.5</v>
      </c>
      <c r="AC14" s="182">
        <f t="shared" si="23"/>
        <v>191.1</v>
      </c>
      <c r="AE14" s="40">
        <f t="shared" si="24"/>
        <v>114.58333333333334</v>
      </c>
      <c r="AF14" s="40">
        <f t="shared" si="24"/>
        <v>159.25</v>
      </c>
      <c r="AH14" s="40">
        <f t="shared" si="25"/>
        <v>3.9999999999992042E-2</v>
      </c>
      <c r="AI14" s="40">
        <f t="shared" si="25"/>
        <v>1.0000000000019327E-2</v>
      </c>
      <c r="AK14" s="130">
        <f t="shared" si="26"/>
        <v>6.79</v>
      </c>
      <c r="AL14" s="130">
        <f t="shared" si="26"/>
        <v>9.43</v>
      </c>
      <c r="AM14" s="40"/>
      <c r="AN14" s="40">
        <f t="shared" si="27"/>
        <v>46.72496000000001</v>
      </c>
      <c r="AO14" s="40">
        <f t="shared" si="28"/>
        <v>64.968079999999986</v>
      </c>
      <c r="AP14" s="40"/>
      <c r="AQ14" s="144">
        <f t="shared" si="29"/>
        <v>9.1999999999999998E-2</v>
      </c>
      <c r="AR14" s="144">
        <f t="shared" si="29"/>
        <v>9.1999999999999943E-2</v>
      </c>
      <c r="AS14" s="40"/>
      <c r="AT14" s="146">
        <f t="shared" si="30"/>
        <v>0.40765102076426457</v>
      </c>
      <c r="AU14" s="146">
        <f t="shared" si="30"/>
        <v>0.40793720959437391</v>
      </c>
      <c r="AV14" s="40"/>
      <c r="AW14" s="76">
        <f t="shared" si="31"/>
        <v>0.5</v>
      </c>
      <c r="AX14" s="76">
        <f t="shared" si="31"/>
        <v>0.5</v>
      </c>
      <c r="AY14" s="42"/>
      <c r="AZ14" s="42">
        <f t="shared" si="32"/>
        <v>57.27000000000001</v>
      </c>
      <c r="BA14" s="42">
        <f t="shared" si="32"/>
        <v>79.619999999999976</v>
      </c>
      <c r="BB14" s="42"/>
      <c r="BC14" s="76">
        <f t="shared" si="33"/>
        <v>0.4996510207642646</v>
      </c>
      <c r="BD14" s="76">
        <f t="shared" si="33"/>
        <v>0.49993720959437388</v>
      </c>
      <c r="BE14" s="42"/>
    </row>
    <row r="15" spans="1:57" x14ac:dyDescent="0.25">
      <c r="A15"/>
      <c r="D15" s="150"/>
      <c r="E15" s="150"/>
      <c r="F15" s="41"/>
      <c r="G15" s="153"/>
      <c r="H15" s="153"/>
      <c r="J15" s="154"/>
      <c r="K15" s="154"/>
      <c r="M15" s="134"/>
      <c r="N15" s="134"/>
      <c r="P15" s="134"/>
      <c r="Q15" s="134"/>
      <c r="S15" s="140"/>
      <c r="T15" s="140"/>
      <c r="V15" s="40"/>
      <c r="W15" s="40"/>
      <c r="Y15" s="41"/>
      <c r="Z15" s="41"/>
      <c r="AK15" s="130"/>
      <c r="AL15" s="130"/>
      <c r="AM15" s="40"/>
      <c r="AN15" s="40"/>
      <c r="AO15" s="40"/>
      <c r="AP15" s="40"/>
      <c r="AQ15" s="145"/>
      <c r="AR15" s="145"/>
      <c r="AS15" s="40"/>
      <c r="AT15" s="146"/>
      <c r="AU15" s="146"/>
      <c r="AV15" s="40"/>
      <c r="AW15" s="76"/>
      <c r="AX15" s="76"/>
      <c r="AY15" s="42"/>
      <c r="AZ15" s="42"/>
      <c r="BA15" s="42"/>
      <c r="BB15" s="42"/>
      <c r="BC15" s="76"/>
      <c r="BD15" s="76"/>
      <c r="BE15" s="42"/>
    </row>
    <row r="16" spans="1:57" x14ac:dyDescent="0.25">
      <c r="A16" s="167" t="s">
        <v>138</v>
      </c>
      <c r="B16" s="4"/>
      <c r="D16" s="149"/>
      <c r="E16" s="149"/>
      <c r="F16" s="41"/>
      <c r="G16" s="153"/>
      <c r="H16" s="153"/>
      <c r="J16" s="154"/>
      <c r="K16" s="154"/>
      <c r="M16" s="134"/>
      <c r="N16" s="134"/>
      <c r="P16" s="134"/>
      <c r="Q16" s="134"/>
      <c r="S16" s="140"/>
      <c r="T16" s="140"/>
      <c r="V16" s="40"/>
      <c r="W16" s="40"/>
      <c r="Y16" s="41"/>
      <c r="Z16" s="41"/>
      <c r="AK16" s="130"/>
      <c r="AL16" s="130"/>
      <c r="AM16" s="40"/>
      <c r="AN16" s="40"/>
      <c r="AO16" s="40"/>
      <c r="AP16" s="40"/>
      <c r="AQ16" s="145"/>
      <c r="AR16" s="145"/>
      <c r="AS16" s="40"/>
      <c r="AT16" s="146"/>
      <c r="AU16" s="146"/>
      <c r="AV16" s="40"/>
      <c r="AW16" s="76"/>
      <c r="AX16" s="76"/>
      <c r="AY16" s="42"/>
      <c r="AZ16" s="42"/>
      <c r="BA16" s="42"/>
      <c r="BB16" s="42"/>
      <c r="BC16" s="76"/>
      <c r="BD16" s="76"/>
      <c r="BE16" s="42"/>
    </row>
    <row r="17" spans="1:57" x14ac:dyDescent="0.25">
      <c r="A17" t="s">
        <v>133</v>
      </c>
      <c r="D17" s="162">
        <f>ROUND('AMT Standard re Jan25'!D17+'AMT Inc Cruise re Jan25'!$B$57,2)</f>
        <v>73.34</v>
      </c>
      <c r="E17" s="162">
        <f>ROUND('AMT Standard re Jan25'!E17+'AMT Inc Cruise re Jan25'!$B$58,2)</f>
        <v>105.88</v>
      </c>
      <c r="F17" s="81"/>
      <c r="G17" s="153">
        <f t="shared" ref="G17:H20" si="36">D17*SUM(1+$G$1/$Y$1)</f>
        <v>86.834559999999996</v>
      </c>
      <c r="H17" s="153">
        <f t="shared" si="36"/>
        <v>125.36191999999998</v>
      </c>
      <c r="I17" s="83"/>
      <c r="J17" s="155">
        <f t="shared" ref="J17:K20" si="37">G17-D17</f>
        <v>13.494559999999993</v>
      </c>
      <c r="K17" s="155">
        <f t="shared" si="37"/>
        <v>19.481919999999988</v>
      </c>
      <c r="L17" s="83"/>
      <c r="M17" s="134">
        <f>ROUND(D17*(1+$G$1*2),2)*SUM(1+$M$1)</f>
        <v>95.513000000000005</v>
      </c>
      <c r="N17" s="134">
        <f>ROUND(E17*(1+$G$1*2),2)*SUM(1+$M$1)</f>
        <v>137.89600000000002</v>
      </c>
      <c r="P17" s="134">
        <f t="shared" ref="P17:Q20" si="38">M17-D17</f>
        <v>22.173000000000002</v>
      </c>
      <c r="Q17" s="134">
        <f t="shared" si="38"/>
        <v>32.01600000000002</v>
      </c>
      <c r="S17" s="141">
        <f t="shared" ref="S17:T20" si="39">AK17/G17</f>
        <v>9.9960200178362171E-2</v>
      </c>
      <c r="T17" s="141">
        <f t="shared" si="39"/>
        <v>0.10003037605039872</v>
      </c>
      <c r="V17" s="41">
        <f t="shared" ref="V17:W20" si="40">SUM(D17/(1-$Y$1))</f>
        <v>146.68</v>
      </c>
      <c r="W17" s="41">
        <f t="shared" si="40"/>
        <v>211.76</v>
      </c>
      <c r="Y17" s="41">
        <f>ROUND(D17/(1-$Y$1)*1.2,2)</f>
        <v>176.02</v>
      </c>
      <c r="Z17" s="41">
        <f>ROUND(E17/(1-$Y$1)*1.2,2)</f>
        <v>254.11</v>
      </c>
      <c r="AB17" s="182">
        <f t="shared" ref="AB17:AC20" si="41">ROUNDDOWN(D17/(1-$Y$1)*1.2,1)</f>
        <v>176</v>
      </c>
      <c r="AC17" s="182">
        <f t="shared" si="41"/>
        <v>254.1</v>
      </c>
      <c r="AE17" s="40">
        <f t="shared" ref="AE17:AF20" si="42">AB17/1.2</f>
        <v>146.66666666666669</v>
      </c>
      <c r="AF17" s="40">
        <f t="shared" si="42"/>
        <v>211.75</v>
      </c>
      <c r="AH17" s="40">
        <f t="shared" ref="AH17:AI20" si="43">Y17-AB17</f>
        <v>2.0000000000010232E-2</v>
      </c>
      <c r="AI17" s="40">
        <f t="shared" si="43"/>
        <v>1.0000000000019327E-2</v>
      </c>
      <c r="AK17" s="130">
        <f t="shared" ref="AK17:AL20" si="44">ROUND(M17*(1-(1/(1+$AL$1))),2)</f>
        <v>8.68</v>
      </c>
      <c r="AL17" s="130">
        <f t="shared" si="44"/>
        <v>12.54</v>
      </c>
      <c r="AM17" s="40"/>
      <c r="AN17" s="40">
        <f t="shared" ref="AN17:AN20" si="45">SUM(V17-G17)-AH17</f>
        <v>59.82544</v>
      </c>
      <c r="AO17" s="40">
        <f t="shared" ref="AO17:AO20" si="46">SUM(W17-H17)-AI17</f>
        <v>86.388079999999988</v>
      </c>
      <c r="AP17" s="40"/>
      <c r="AQ17" s="144">
        <f t="shared" ref="AQ17:AR20" si="47">(SUM(G17-D17)/D17*$Y$1)</f>
        <v>9.1999999999999943E-2</v>
      </c>
      <c r="AR17" s="144">
        <f t="shared" si="47"/>
        <v>9.1999999999999943E-2</v>
      </c>
      <c r="AS17" s="40"/>
      <c r="AT17" s="146">
        <f t="shared" ref="AT17:AU20" si="48">AN17/V17</f>
        <v>0.40786364875920367</v>
      </c>
      <c r="AU17" s="146">
        <f t="shared" si="48"/>
        <v>0.40795277672837171</v>
      </c>
      <c r="AV17" s="40"/>
      <c r="AW17" s="76">
        <f t="shared" ref="AW17:AX20" si="49">D17/V17</f>
        <v>0.5</v>
      </c>
      <c r="AX17" s="76">
        <f t="shared" si="49"/>
        <v>0.5</v>
      </c>
      <c r="AY17" s="42"/>
      <c r="AZ17" s="42">
        <f t="shared" ref="AZ17:BA20" si="50">J17+AN17</f>
        <v>73.319999999999993</v>
      </c>
      <c r="BA17" s="42">
        <f t="shared" si="50"/>
        <v>105.86999999999998</v>
      </c>
      <c r="BB17" s="42"/>
      <c r="BC17" s="76">
        <f t="shared" ref="BC17:BD20" si="51">AZ17/(D17/$Y$1)</f>
        <v>0.49986364875920364</v>
      </c>
      <c r="BD17" s="76">
        <f t="shared" si="51"/>
        <v>0.49995277672837163</v>
      </c>
      <c r="BE17" s="42"/>
    </row>
    <row r="18" spans="1:57" x14ac:dyDescent="0.25">
      <c r="A18" t="s">
        <v>134</v>
      </c>
      <c r="D18" s="162">
        <f>ROUND('AMT Standard re Jan25'!D18+'AMT Inc Cruise re Jan25'!$B$57,2)</f>
        <v>109.11</v>
      </c>
      <c r="E18" s="162">
        <f>ROUND('AMT Standard re Jan25'!E18+'AMT Inc Cruise re Jan25'!$B$58,2)</f>
        <v>157.02000000000001</v>
      </c>
      <c r="F18" s="81"/>
      <c r="G18" s="153">
        <f t="shared" si="36"/>
        <v>129.18624</v>
      </c>
      <c r="H18" s="153">
        <f t="shared" si="36"/>
        <v>185.91167999999999</v>
      </c>
      <c r="I18" s="83"/>
      <c r="J18" s="155">
        <f t="shared" si="37"/>
        <v>20.076239999999999</v>
      </c>
      <c r="K18" s="155">
        <f t="shared" si="37"/>
        <v>28.89167999999998</v>
      </c>
      <c r="L18" s="83"/>
      <c r="M18" s="134">
        <f t="shared" ref="M18:N20" si="52">ROUND(D18*(1+$G$1*2),2)*SUM(1+$M$1)</f>
        <v>142.10900000000001</v>
      </c>
      <c r="N18" s="134">
        <f t="shared" si="52"/>
        <v>204.501</v>
      </c>
      <c r="P18" s="134">
        <f t="shared" si="38"/>
        <v>32.999000000000009</v>
      </c>
      <c r="Q18" s="134">
        <f t="shared" si="38"/>
        <v>47.480999999999995</v>
      </c>
      <c r="S18" s="141">
        <f t="shared" si="39"/>
        <v>0.10001065128917755</v>
      </c>
      <c r="T18" s="141">
        <f t="shared" si="39"/>
        <v>9.9993717446908131E-2</v>
      </c>
      <c r="V18" s="41">
        <f t="shared" si="40"/>
        <v>218.22</v>
      </c>
      <c r="W18" s="41">
        <f t="shared" si="40"/>
        <v>314.04000000000002</v>
      </c>
      <c r="Y18" s="41">
        <f t="shared" ref="Y18:Z20" si="53">ROUND(D18/(1-$Y$1)*1.2,2)</f>
        <v>261.86</v>
      </c>
      <c r="Z18" s="41">
        <f t="shared" si="53"/>
        <v>376.85</v>
      </c>
      <c r="AB18" s="182">
        <f t="shared" si="41"/>
        <v>261.8</v>
      </c>
      <c r="AC18" s="182">
        <f t="shared" si="41"/>
        <v>376.8</v>
      </c>
      <c r="AE18" s="40">
        <f t="shared" si="42"/>
        <v>218.16666666666669</v>
      </c>
      <c r="AF18" s="40">
        <f t="shared" si="42"/>
        <v>314</v>
      </c>
      <c r="AH18" s="40">
        <f t="shared" si="43"/>
        <v>6.0000000000002274E-2</v>
      </c>
      <c r="AI18" s="40">
        <f t="shared" si="43"/>
        <v>5.0000000000011369E-2</v>
      </c>
      <c r="AK18" s="130">
        <f t="shared" si="44"/>
        <v>12.92</v>
      </c>
      <c r="AL18" s="130">
        <f t="shared" si="44"/>
        <v>18.59</v>
      </c>
      <c r="AM18" s="40"/>
      <c r="AN18" s="40">
        <f t="shared" si="45"/>
        <v>88.973759999999999</v>
      </c>
      <c r="AO18" s="40">
        <f t="shared" si="46"/>
        <v>128.07832000000002</v>
      </c>
      <c r="AP18" s="40"/>
      <c r="AQ18" s="144">
        <f t="shared" si="47"/>
        <v>9.1999999999999998E-2</v>
      </c>
      <c r="AR18" s="144">
        <f t="shared" si="47"/>
        <v>9.1999999999999929E-2</v>
      </c>
      <c r="AS18" s="40"/>
      <c r="AT18" s="146">
        <f t="shared" si="48"/>
        <v>0.40772504811657961</v>
      </c>
      <c r="AU18" s="146">
        <f t="shared" si="48"/>
        <v>0.4078407846134251</v>
      </c>
      <c r="AV18" s="40"/>
      <c r="AW18" s="76">
        <f t="shared" si="49"/>
        <v>0.5</v>
      </c>
      <c r="AX18" s="76">
        <f t="shared" si="49"/>
        <v>0.5</v>
      </c>
      <c r="AY18" s="42"/>
      <c r="AZ18" s="42">
        <f t="shared" si="50"/>
        <v>109.05</v>
      </c>
      <c r="BA18" s="42">
        <f t="shared" si="50"/>
        <v>156.97</v>
      </c>
      <c r="BB18" s="42"/>
      <c r="BC18" s="76">
        <f t="shared" si="51"/>
        <v>0.49972504811657958</v>
      </c>
      <c r="BD18" s="76">
        <f t="shared" si="51"/>
        <v>0.49984078461342502</v>
      </c>
      <c r="BE18" s="42"/>
    </row>
    <row r="19" spans="1:57" x14ac:dyDescent="0.25">
      <c r="A19" t="s">
        <v>135</v>
      </c>
      <c r="D19" s="162">
        <f>ROUND('AMT Standard re Jan25'!D19+'AMT Inc Cruise re Jan25'!$B$57,2)</f>
        <v>116.46</v>
      </c>
      <c r="E19" s="162">
        <f>ROUND('AMT Standard re Jan25'!E19+'AMT Inc Cruise re Jan25'!$B$58,2)</f>
        <v>170.59</v>
      </c>
      <c r="F19" s="81"/>
      <c r="G19" s="153">
        <f t="shared" si="36"/>
        <v>137.88863999999998</v>
      </c>
      <c r="H19" s="153">
        <f t="shared" si="36"/>
        <v>201.97855999999999</v>
      </c>
      <c r="J19" s="155">
        <f t="shared" si="37"/>
        <v>21.428639999999987</v>
      </c>
      <c r="K19" s="155">
        <f t="shared" si="37"/>
        <v>31.388559999999984</v>
      </c>
      <c r="M19" s="134">
        <f t="shared" si="52"/>
        <v>151.679</v>
      </c>
      <c r="N19" s="134">
        <f t="shared" si="52"/>
        <v>222.178</v>
      </c>
      <c r="P19" s="134">
        <f t="shared" si="38"/>
        <v>35.219000000000008</v>
      </c>
      <c r="Q19" s="134">
        <f t="shared" si="38"/>
        <v>51.587999999999994</v>
      </c>
      <c r="S19" s="141">
        <f t="shared" si="39"/>
        <v>0.10000823853219526</v>
      </c>
      <c r="T19" s="141">
        <f t="shared" si="39"/>
        <v>0.10001061498804625</v>
      </c>
      <c r="V19" s="41">
        <f t="shared" si="40"/>
        <v>232.92</v>
      </c>
      <c r="W19" s="41">
        <f t="shared" si="40"/>
        <v>341.18</v>
      </c>
      <c r="Y19" s="41">
        <f t="shared" si="53"/>
        <v>279.5</v>
      </c>
      <c r="Z19" s="41">
        <f t="shared" si="53"/>
        <v>409.42</v>
      </c>
      <c r="AB19" s="182">
        <f t="shared" si="41"/>
        <v>279.5</v>
      </c>
      <c r="AC19" s="182">
        <f t="shared" si="41"/>
        <v>409.4</v>
      </c>
      <c r="AE19" s="40">
        <f t="shared" si="42"/>
        <v>232.91666666666669</v>
      </c>
      <c r="AF19" s="40">
        <f t="shared" si="42"/>
        <v>341.16666666666669</v>
      </c>
      <c r="AH19" s="40">
        <f t="shared" si="43"/>
        <v>0</v>
      </c>
      <c r="AI19" s="40">
        <f t="shared" si="43"/>
        <v>2.0000000000038654E-2</v>
      </c>
      <c r="AK19" s="130">
        <f t="shared" si="44"/>
        <v>13.79</v>
      </c>
      <c r="AL19" s="130">
        <f t="shared" si="44"/>
        <v>20.2</v>
      </c>
      <c r="AM19" s="40"/>
      <c r="AN19" s="40">
        <f t="shared" si="45"/>
        <v>95.031360000000006</v>
      </c>
      <c r="AO19" s="40">
        <f t="shared" si="46"/>
        <v>139.18143999999998</v>
      </c>
      <c r="AP19" s="40"/>
      <c r="AQ19" s="144">
        <f t="shared" si="47"/>
        <v>9.1999999999999957E-2</v>
      </c>
      <c r="AR19" s="144">
        <f t="shared" si="47"/>
        <v>9.1999999999999957E-2</v>
      </c>
      <c r="AS19" s="40"/>
      <c r="AT19" s="146">
        <f t="shared" si="48"/>
        <v>0.40800000000000003</v>
      </c>
      <c r="AU19" s="146">
        <f t="shared" si="48"/>
        <v>0.40794137991675944</v>
      </c>
      <c r="AV19" s="40"/>
      <c r="AW19" s="76">
        <f t="shared" si="49"/>
        <v>0.5</v>
      </c>
      <c r="AX19" s="76">
        <f t="shared" si="49"/>
        <v>0.5</v>
      </c>
      <c r="AY19" s="42"/>
      <c r="AZ19" s="42">
        <f t="shared" si="50"/>
        <v>116.46</v>
      </c>
      <c r="BA19" s="42">
        <f t="shared" si="50"/>
        <v>170.56999999999996</v>
      </c>
      <c r="BB19" s="42"/>
      <c r="BC19" s="76">
        <f t="shared" si="51"/>
        <v>0.5</v>
      </c>
      <c r="BD19" s="76">
        <f t="shared" si="51"/>
        <v>0.49994137991675935</v>
      </c>
      <c r="BE19" s="42"/>
    </row>
    <row r="20" spans="1:57" x14ac:dyDescent="0.25">
      <c r="A20" t="s">
        <v>136</v>
      </c>
      <c r="D20" s="162">
        <f>ROUND('AMT Standard re Jan25'!D20+'AMT Inc Cruise re Jan25'!$B$57,2)</f>
        <v>126.27</v>
      </c>
      <c r="E20" s="162">
        <f>ROUND('AMT Standard re Jan25'!E20+'AMT Inc Cruise re Jan25'!$B$58,2)</f>
        <v>182.66</v>
      </c>
      <c r="F20" s="81"/>
      <c r="G20" s="153">
        <f t="shared" si="36"/>
        <v>149.50367999999997</v>
      </c>
      <c r="H20" s="153">
        <f t="shared" si="36"/>
        <v>216.26943999999997</v>
      </c>
      <c r="J20" s="155">
        <f t="shared" si="37"/>
        <v>23.233679999999978</v>
      </c>
      <c r="K20" s="155">
        <f t="shared" si="37"/>
        <v>33.609439999999978</v>
      </c>
      <c r="M20" s="134">
        <f t="shared" si="52"/>
        <v>164.45000000000002</v>
      </c>
      <c r="N20" s="134">
        <f t="shared" si="52"/>
        <v>237.89700000000002</v>
      </c>
      <c r="P20" s="134">
        <f t="shared" si="38"/>
        <v>38.180000000000021</v>
      </c>
      <c r="Q20" s="134">
        <f t="shared" si="38"/>
        <v>55.237000000000023</v>
      </c>
      <c r="S20" s="141">
        <f t="shared" si="39"/>
        <v>9.9997538522128698E-2</v>
      </c>
      <c r="T20" s="141">
        <f t="shared" si="39"/>
        <v>0.1000141305216308</v>
      </c>
      <c r="V20" s="41">
        <f t="shared" si="40"/>
        <v>252.54</v>
      </c>
      <c r="W20" s="41">
        <f t="shared" si="40"/>
        <v>365.32</v>
      </c>
      <c r="Y20" s="41">
        <f t="shared" si="53"/>
        <v>303.05</v>
      </c>
      <c r="Z20" s="41">
        <f t="shared" si="53"/>
        <v>438.38</v>
      </c>
      <c r="AB20" s="182">
        <f t="shared" si="41"/>
        <v>303</v>
      </c>
      <c r="AC20" s="182">
        <f t="shared" si="41"/>
        <v>438.3</v>
      </c>
      <c r="AE20" s="40">
        <f t="shared" si="42"/>
        <v>252.5</v>
      </c>
      <c r="AF20" s="40">
        <f t="shared" si="42"/>
        <v>365.25</v>
      </c>
      <c r="AH20" s="40">
        <f t="shared" si="43"/>
        <v>5.0000000000011369E-2</v>
      </c>
      <c r="AI20" s="40">
        <f t="shared" si="43"/>
        <v>7.9999999999984084E-2</v>
      </c>
      <c r="AK20" s="130">
        <f t="shared" si="44"/>
        <v>14.95</v>
      </c>
      <c r="AL20" s="130">
        <f t="shared" si="44"/>
        <v>21.63</v>
      </c>
      <c r="AM20" s="40"/>
      <c r="AN20" s="40">
        <f t="shared" si="45"/>
        <v>102.98632000000001</v>
      </c>
      <c r="AO20" s="40">
        <f t="shared" si="46"/>
        <v>148.97056000000003</v>
      </c>
      <c r="AP20" s="40"/>
      <c r="AQ20" s="144">
        <f t="shared" si="47"/>
        <v>9.1999999999999915E-2</v>
      </c>
      <c r="AR20" s="144">
        <f t="shared" si="47"/>
        <v>9.1999999999999943E-2</v>
      </c>
      <c r="AS20" s="40"/>
      <c r="AT20" s="146">
        <f t="shared" si="48"/>
        <v>0.40780201156252477</v>
      </c>
      <c r="AU20" s="146">
        <f t="shared" si="48"/>
        <v>0.40778101390561711</v>
      </c>
      <c r="AV20" s="40"/>
      <c r="AW20" s="76">
        <f t="shared" si="49"/>
        <v>0.5</v>
      </c>
      <c r="AX20" s="76">
        <f t="shared" si="49"/>
        <v>0.5</v>
      </c>
      <c r="AY20" s="42"/>
      <c r="AZ20" s="42">
        <f t="shared" si="50"/>
        <v>126.21999999999998</v>
      </c>
      <c r="BA20" s="42">
        <f t="shared" si="50"/>
        <v>182.58</v>
      </c>
      <c r="BB20" s="42"/>
      <c r="BC20" s="76">
        <f t="shared" si="51"/>
        <v>0.49980201156252468</v>
      </c>
      <c r="BD20" s="76">
        <f t="shared" si="51"/>
        <v>0.49978101390561702</v>
      </c>
      <c r="BE20" s="42"/>
    </row>
    <row r="21" spans="1:57" x14ac:dyDescent="0.25">
      <c r="C21" s="104"/>
      <c r="D21" s="104"/>
      <c r="H21" s="40"/>
      <c r="I21" s="75"/>
      <c r="J21" s="75"/>
      <c r="K21" s="75"/>
      <c r="L21" s="75"/>
      <c r="V21" s="40"/>
      <c r="X21" s="41"/>
      <c r="Y21" s="40"/>
      <c r="Z21" s="40"/>
      <c r="AK21" s="76"/>
      <c r="AL21" s="76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76"/>
      <c r="AX21" s="76"/>
      <c r="AY21" s="42"/>
      <c r="AZ21" s="42"/>
      <c r="BA21" s="42"/>
      <c r="BB21" s="42"/>
      <c r="BC21" s="76"/>
      <c r="BD21" s="76"/>
      <c r="BE21" s="40"/>
    </row>
    <row r="22" spans="1:57" x14ac:dyDescent="0.25">
      <c r="A22" s="4" t="s">
        <v>139</v>
      </c>
      <c r="X22" s="41"/>
      <c r="Y22" s="40"/>
      <c r="Z22" s="40"/>
      <c r="AK22" s="76"/>
      <c r="AL22" s="76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76"/>
      <c r="AX22" s="76"/>
      <c r="AY22" s="42"/>
      <c r="AZ22" s="42"/>
      <c r="BA22" s="42"/>
      <c r="BB22" s="42"/>
      <c r="BC22" s="76"/>
      <c r="BD22" s="76"/>
      <c r="BE22" s="40"/>
    </row>
    <row r="23" spans="1:57" x14ac:dyDescent="0.25">
      <c r="A23" s="53"/>
      <c r="X23" s="41"/>
      <c r="Y23" s="40"/>
      <c r="Z23" s="40"/>
      <c r="AK23" s="76"/>
      <c r="AL23" s="76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76"/>
      <c r="AX23" s="76"/>
      <c r="AY23" s="42"/>
      <c r="AZ23" s="42"/>
      <c r="BA23" s="42"/>
      <c r="BB23" s="42"/>
      <c r="BC23" s="76"/>
      <c r="BD23" s="76"/>
      <c r="BE23" s="40"/>
    </row>
    <row r="24" spans="1:57" x14ac:dyDescent="0.25">
      <c r="A24" s="100" t="s">
        <v>132</v>
      </c>
      <c r="B24" s="52" t="s">
        <v>140</v>
      </c>
      <c r="D24" s="55" t="s">
        <v>141</v>
      </c>
      <c r="E24" s="55"/>
      <c r="F24" s="55"/>
    </row>
    <row r="25" spans="1:57" x14ac:dyDescent="0.25">
      <c r="A25" s="100" t="s">
        <v>137</v>
      </c>
      <c r="B25" s="52" t="s">
        <v>140</v>
      </c>
      <c r="F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</row>
    <row r="26" spans="1:57" x14ac:dyDescent="0.25">
      <c r="A26" s="100" t="s">
        <v>142</v>
      </c>
      <c r="B26" s="52" t="s">
        <v>140</v>
      </c>
      <c r="F26" s="40"/>
      <c r="G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</row>
    <row r="27" spans="1:57" x14ac:dyDescent="0.25">
      <c r="F27" s="40"/>
      <c r="G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</row>
    <row r="28" spans="1:57" x14ac:dyDescent="0.25">
      <c r="A28" s="99" t="s">
        <v>143</v>
      </c>
      <c r="B28" s="52" t="s">
        <v>144</v>
      </c>
      <c r="F28" s="40"/>
      <c r="G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</row>
    <row r="29" spans="1:57" x14ac:dyDescent="0.25">
      <c r="G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</row>
    <row r="30" spans="1:57" ht="45" customHeight="1" x14ac:dyDescent="0.25">
      <c r="A30" s="159" t="s">
        <v>145</v>
      </c>
      <c r="B30" s="246" t="s">
        <v>146</v>
      </c>
      <c r="C30" s="246"/>
      <c r="D30" s="246"/>
      <c r="E30" s="246"/>
      <c r="F30" s="99"/>
      <c r="AA30" s="40"/>
      <c r="AB30" s="40"/>
      <c r="AC30" s="40"/>
      <c r="AD30" s="40"/>
      <c r="AE30" s="40"/>
      <c r="AF30" s="40"/>
      <c r="AG30" s="40"/>
      <c r="AH30" s="40"/>
      <c r="AI30" s="40"/>
      <c r="AJ30" s="40"/>
    </row>
    <row r="31" spans="1:57" ht="45" customHeight="1" x14ac:dyDescent="0.25">
      <c r="A31" s="159" t="s">
        <v>147</v>
      </c>
      <c r="B31" s="246" t="s">
        <v>148</v>
      </c>
      <c r="C31" s="246"/>
      <c r="D31" s="246"/>
      <c r="E31" s="246"/>
      <c r="F31" s="246"/>
      <c r="AA31" s="40"/>
      <c r="AB31" s="40"/>
      <c r="AC31" s="40"/>
      <c r="AD31" s="40"/>
      <c r="AE31" s="40"/>
      <c r="AF31" s="40"/>
      <c r="AG31" s="40"/>
      <c r="AH31" s="40"/>
      <c r="AI31" s="40"/>
      <c r="AJ31" s="40"/>
    </row>
    <row r="32" spans="1:57" x14ac:dyDescent="0.25"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</row>
    <row r="33" spans="1:57" x14ac:dyDescent="0.25">
      <c r="A33" s="100" t="s">
        <v>149</v>
      </c>
      <c r="B33" s="101" t="s">
        <v>150</v>
      </c>
      <c r="C33" s="52"/>
      <c r="AA33" s="40"/>
      <c r="AB33" s="40"/>
      <c r="AC33" s="40"/>
      <c r="AD33" s="40"/>
      <c r="AE33" s="40"/>
      <c r="AF33" s="40"/>
      <c r="AG33" s="40"/>
      <c r="AH33" s="40"/>
      <c r="AI33" s="40"/>
      <c r="AJ33" s="40"/>
    </row>
    <row r="34" spans="1:57" x14ac:dyDescent="0.25">
      <c r="A34" s="100" t="s">
        <v>151</v>
      </c>
      <c r="B34" s="101" t="s">
        <v>152</v>
      </c>
      <c r="C34" s="52"/>
    </row>
    <row r="35" spans="1:57" x14ac:dyDescent="0.25">
      <c r="A35" s="100" t="s">
        <v>153</v>
      </c>
      <c r="B35" s="101" t="s">
        <v>154</v>
      </c>
      <c r="C35" s="52"/>
    </row>
    <row r="36" spans="1:57" s="96" customFormat="1" ht="45" customHeight="1" x14ac:dyDescent="0.25">
      <c r="D36" s="244" t="s">
        <v>128</v>
      </c>
      <c r="E36" s="244"/>
      <c r="F36" s="95"/>
      <c r="G36" s="245" t="s">
        <v>3</v>
      </c>
      <c r="H36" s="245"/>
      <c r="I36" s="18"/>
      <c r="J36" s="245" t="s">
        <v>4</v>
      </c>
      <c r="K36" s="245"/>
      <c r="L36" s="18"/>
      <c r="M36" s="219" t="s">
        <v>5</v>
      </c>
      <c r="N36" s="219"/>
      <c r="O36" s="18"/>
      <c r="P36" s="219" t="s">
        <v>6</v>
      </c>
      <c r="Q36" s="219"/>
      <c r="R36" s="18"/>
      <c r="S36" s="219" t="s">
        <v>7</v>
      </c>
      <c r="T36" s="219"/>
      <c r="U36" s="18"/>
      <c r="V36" s="214" t="s">
        <v>8</v>
      </c>
      <c r="W36" s="214"/>
      <c r="X36" s="52"/>
      <c r="Y36" s="211" t="s">
        <v>9</v>
      </c>
      <c r="Z36" s="211"/>
      <c r="AA36" s="1"/>
      <c r="AB36" s="215" t="s">
        <v>10</v>
      </c>
      <c r="AC36" s="215"/>
      <c r="AD36" s="1"/>
      <c r="AE36" s="211" t="s">
        <v>11</v>
      </c>
      <c r="AF36" s="211"/>
      <c r="AG36" s="1"/>
      <c r="AH36" s="211" t="s">
        <v>12</v>
      </c>
      <c r="AI36" s="211"/>
      <c r="AJ36" s="1"/>
      <c r="AK36" s="211" t="s">
        <v>13</v>
      </c>
      <c r="AL36" s="211"/>
      <c r="AM36" s="1"/>
      <c r="AN36" s="211" t="s">
        <v>14</v>
      </c>
      <c r="AO36" s="211"/>
      <c r="AP36" s="1"/>
      <c r="AQ36" s="212" t="s">
        <v>15</v>
      </c>
      <c r="AR36" s="212"/>
      <c r="AS36" s="1"/>
      <c r="AT36" s="211" t="s">
        <v>16</v>
      </c>
      <c r="AU36" s="211"/>
      <c r="AV36" s="1"/>
      <c r="AW36" s="213" t="s">
        <v>17</v>
      </c>
      <c r="AX36" s="213"/>
      <c r="AY36" s="1"/>
      <c r="AZ36" s="213" t="s">
        <v>18</v>
      </c>
      <c r="BA36" s="213"/>
      <c r="BB36" s="1"/>
      <c r="BC36" s="213" t="s">
        <v>129</v>
      </c>
      <c r="BD36" s="213"/>
      <c r="BE36" s="1"/>
    </row>
    <row r="37" spans="1:57" s="96" customFormat="1" ht="108.6" customHeight="1" x14ac:dyDescent="0.25">
      <c r="D37" s="195" t="s">
        <v>130</v>
      </c>
      <c r="E37" s="147" t="s">
        <v>131</v>
      </c>
      <c r="F37" s="35"/>
      <c r="G37" s="151" t="s">
        <v>130</v>
      </c>
      <c r="H37" s="152" t="s">
        <v>131</v>
      </c>
      <c r="I37" s="52"/>
      <c r="J37" s="151" t="s">
        <v>130</v>
      </c>
      <c r="K37" s="152" t="s">
        <v>131</v>
      </c>
      <c r="L37" s="52"/>
      <c r="M37" s="132" t="s">
        <v>130</v>
      </c>
      <c r="N37" s="133" t="s">
        <v>131</v>
      </c>
      <c r="O37" s="52"/>
      <c r="P37" s="132" t="s">
        <v>130</v>
      </c>
      <c r="Q37" s="133" t="s">
        <v>131</v>
      </c>
      <c r="R37" s="52"/>
      <c r="S37" s="132" t="s">
        <v>130</v>
      </c>
      <c r="T37" s="133" t="s">
        <v>131</v>
      </c>
      <c r="U37" s="52"/>
      <c r="V37" s="96" t="s">
        <v>130</v>
      </c>
      <c r="W37" s="95" t="s">
        <v>131</v>
      </c>
      <c r="X37" s="52"/>
      <c r="Y37" s="96" t="s">
        <v>130</v>
      </c>
      <c r="Z37" s="95" t="s">
        <v>131</v>
      </c>
      <c r="AA37" s="52"/>
      <c r="AB37" s="96" t="s">
        <v>130</v>
      </c>
      <c r="AC37" s="95" t="s">
        <v>131</v>
      </c>
      <c r="AD37" s="52"/>
      <c r="AE37" s="96" t="s">
        <v>130</v>
      </c>
      <c r="AF37" s="95" t="s">
        <v>131</v>
      </c>
      <c r="AG37" s="34"/>
      <c r="AH37" s="96" t="s">
        <v>130</v>
      </c>
      <c r="AI37" s="95" t="s">
        <v>131</v>
      </c>
      <c r="AJ37" s="52"/>
      <c r="AK37" s="128" t="s">
        <v>130</v>
      </c>
      <c r="AL37" s="129" t="s">
        <v>131</v>
      </c>
      <c r="AM37" s="52"/>
      <c r="AN37" s="96" t="s">
        <v>130</v>
      </c>
      <c r="AO37" s="95" t="s">
        <v>131</v>
      </c>
      <c r="AP37" s="52"/>
      <c r="AQ37" s="196" t="s">
        <v>130</v>
      </c>
      <c r="AR37" s="142" t="s">
        <v>131</v>
      </c>
      <c r="AS37" s="52"/>
      <c r="AT37" s="197" t="s">
        <v>130</v>
      </c>
      <c r="AU37" s="129" t="s">
        <v>131</v>
      </c>
      <c r="AV37" s="52"/>
      <c r="AW37" s="96" t="s">
        <v>130</v>
      </c>
      <c r="AX37" s="95" t="s">
        <v>131</v>
      </c>
      <c r="AY37" s="52"/>
      <c r="AZ37" s="96" t="s">
        <v>130</v>
      </c>
      <c r="BA37" s="95" t="s">
        <v>131</v>
      </c>
      <c r="BB37" s="52"/>
      <c r="BC37" s="139" t="s">
        <v>130</v>
      </c>
      <c r="BD37" s="95" t="s">
        <v>131</v>
      </c>
      <c r="BE37" s="1"/>
    </row>
    <row r="38" spans="1:57" ht="47.45" customHeight="1" x14ac:dyDescent="0.25">
      <c r="B38" s="45"/>
      <c r="D38" s="149"/>
      <c r="E38" s="149"/>
      <c r="F38" s="81"/>
      <c r="G38" s="153"/>
      <c r="H38" s="153"/>
      <c r="J38" s="155"/>
      <c r="K38" s="155"/>
      <c r="L38" s="41"/>
      <c r="M38" s="161"/>
      <c r="N38" s="161"/>
      <c r="P38" s="134"/>
      <c r="Q38" s="134"/>
      <c r="S38" s="141"/>
      <c r="T38" s="141"/>
      <c r="V38" s="41"/>
      <c r="W38" s="41"/>
      <c r="Y38" s="41"/>
      <c r="Z38" s="41"/>
      <c r="AB38" s="182"/>
      <c r="AC38" s="182"/>
      <c r="AE38" s="40"/>
      <c r="AF38" s="40"/>
      <c r="AH38" s="40"/>
      <c r="AI38" s="40"/>
      <c r="AK38" s="130"/>
      <c r="AL38" s="130"/>
      <c r="AM38" s="40"/>
      <c r="AN38" s="40"/>
      <c r="AO38" s="40"/>
      <c r="AP38" s="40"/>
      <c r="AQ38" s="144"/>
      <c r="AR38" s="144"/>
      <c r="AS38" s="40"/>
      <c r="AT38" s="146"/>
      <c r="AU38" s="146"/>
      <c r="AV38" s="40"/>
      <c r="AW38" s="76"/>
      <c r="AX38" s="76"/>
      <c r="AY38" s="42"/>
      <c r="AZ38" s="42"/>
      <c r="BA38" s="42"/>
      <c r="BB38" s="42"/>
      <c r="BC38" s="76"/>
      <c r="BD38" s="76"/>
      <c r="BE38" s="42"/>
    </row>
    <row r="39" spans="1:57" ht="39.950000000000003" customHeight="1" x14ac:dyDescent="0.25">
      <c r="A39" s="247" t="s">
        <v>63</v>
      </c>
      <c r="B39" s="247"/>
      <c r="C39" s="247"/>
      <c r="D39" s="162">
        <f>'AMT Standard re Jan25'!D39</f>
        <v>17.989999999999998</v>
      </c>
      <c r="E39" s="162">
        <f>'AMT Standard re Jan25'!E39</f>
        <v>17.989999999999998</v>
      </c>
      <c r="F39" s="81"/>
      <c r="G39" s="153">
        <f>D39*SUM(1+$G$1/$Y$1)</f>
        <v>21.300159999999998</v>
      </c>
      <c r="H39" s="153">
        <f>E39*SUM(1+$G$1/$Y$1)</f>
        <v>21.300159999999998</v>
      </c>
      <c r="J39" s="155">
        <f t="shared" ref="J39:K39" si="54">G39-D39</f>
        <v>3.3101599999999998</v>
      </c>
      <c r="K39" s="155">
        <f t="shared" si="54"/>
        <v>3.3101599999999998</v>
      </c>
      <c r="L39" s="41"/>
      <c r="M39" s="161">
        <f t="shared" ref="M39:N39" si="55">ROUND(D39*(1+$G$1*2),2)*SUM(1+$M$1)</f>
        <v>23.430000000000003</v>
      </c>
      <c r="N39" s="161">
        <f t="shared" si="55"/>
        <v>23.430000000000003</v>
      </c>
      <c r="P39" s="134">
        <f t="shared" ref="P39:Q39" si="56">M39-D39</f>
        <v>5.4400000000000048</v>
      </c>
      <c r="Q39" s="134">
        <f t="shared" si="56"/>
        <v>5.4400000000000048</v>
      </c>
      <c r="S39" s="141">
        <f>AK39/G39</f>
        <v>9.999924883193366E-2</v>
      </c>
      <c r="T39" s="141">
        <f>AL39/H39</f>
        <v>9.999924883193366E-2</v>
      </c>
      <c r="V39" s="41">
        <f>SUM(D39/(1-$Y$1))</f>
        <v>35.979999999999997</v>
      </c>
      <c r="W39" s="41">
        <f>SUM(E39/(1-$Y$1))</f>
        <v>35.979999999999997</v>
      </c>
      <c r="Y39" s="41">
        <f t="shared" ref="Y39:Z39" si="57">ROUND(D39/(1-$Y$1)*1.2,2)</f>
        <v>43.18</v>
      </c>
      <c r="Z39" s="41">
        <f t="shared" si="57"/>
        <v>43.18</v>
      </c>
      <c r="AB39" s="182">
        <f t="shared" ref="AB39:AC39" si="58">ROUNDDOWN(D39/(1-$Y$1)*1.2,1)</f>
        <v>43.1</v>
      </c>
      <c r="AC39" s="182">
        <f t="shared" si="58"/>
        <v>43.1</v>
      </c>
      <c r="AE39" s="40">
        <f t="shared" ref="AE39:AF39" si="59">AB39/1.2</f>
        <v>35.916666666666671</v>
      </c>
      <c r="AF39" s="40">
        <f t="shared" si="59"/>
        <v>35.916666666666671</v>
      </c>
      <c r="AH39" s="40">
        <f t="shared" ref="AH39:AI39" si="60">Y39-AB39</f>
        <v>7.9999999999998295E-2</v>
      </c>
      <c r="AI39" s="40">
        <f t="shared" si="60"/>
        <v>7.9999999999998295E-2</v>
      </c>
      <c r="AK39" s="130">
        <f t="shared" ref="AK39" si="61">ROUND(M39*(1-(1/(1+$AL$1))),2)</f>
        <v>2.13</v>
      </c>
      <c r="AL39" s="130">
        <f>ROUND(N39*(1-(1/(1+$AL$1))),2)</f>
        <v>2.13</v>
      </c>
      <c r="AM39" s="40"/>
      <c r="AN39" s="40">
        <f t="shared" ref="AN39" si="62">SUM(V39-G39)-AH39</f>
        <v>14.59984</v>
      </c>
      <c r="AO39" s="40">
        <f t="shared" ref="AO39" si="63">SUM(W39-H39)-AI39</f>
        <v>14.59984</v>
      </c>
      <c r="AP39" s="40"/>
      <c r="AQ39" s="144">
        <f>(SUM(G39-D39)/D39*$Y$1)</f>
        <v>9.1999999999999998E-2</v>
      </c>
      <c r="AR39" s="144">
        <f>(SUM(H39-E39)/E39*$Y$1)</f>
        <v>9.1999999999999998E-2</v>
      </c>
      <c r="AS39" s="40"/>
      <c r="AT39" s="146">
        <f>AN39/V39</f>
        <v>0.40577654252362427</v>
      </c>
      <c r="AU39" s="146">
        <f>AO39/W39</f>
        <v>0.40577654252362427</v>
      </c>
      <c r="AV39" s="40"/>
      <c r="AW39" s="76">
        <f>D39/V39</f>
        <v>0.5</v>
      </c>
      <c r="AX39" s="76">
        <f>E39/W39</f>
        <v>0.5</v>
      </c>
      <c r="AY39" s="42"/>
      <c r="AZ39" s="42">
        <f>J39+AN39</f>
        <v>17.91</v>
      </c>
      <c r="BA39" s="42">
        <f>K39+AO39</f>
        <v>17.91</v>
      </c>
      <c r="BB39" s="42"/>
      <c r="BC39" s="76">
        <f>AZ39/(D39/$Y$1)</f>
        <v>0.4977765425236243</v>
      </c>
      <c r="BD39" s="76">
        <f>BA39/(E39/$Y$1)</f>
        <v>0.4977765425236243</v>
      </c>
      <c r="BE39" s="42"/>
    </row>
    <row r="40" spans="1:57" x14ac:dyDescent="0.25">
      <c r="A40" s="52"/>
      <c r="B40" s="52"/>
      <c r="C40" s="98"/>
      <c r="D40" s="52"/>
      <c r="E40" s="52"/>
      <c r="F40" s="40"/>
    </row>
    <row r="41" spans="1:57" x14ac:dyDescent="0.25">
      <c r="A41" s="45" t="s">
        <v>64</v>
      </c>
      <c r="B41" s="45" t="s">
        <v>65</v>
      </c>
      <c r="C41" s="45" t="s">
        <v>66</v>
      </c>
    </row>
    <row r="42" spans="1:57" s="122" customFormat="1" ht="30" customHeight="1" x14ac:dyDescent="0.25">
      <c r="A42" s="120"/>
      <c r="B42" s="121" t="s">
        <v>67</v>
      </c>
      <c r="C42" s="248" t="s">
        <v>68</v>
      </c>
      <c r="D42" s="248"/>
      <c r="E42" s="248"/>
      <c r="F42" s="248"/>
      <c r="G42" s="248"/>
      <c r="H42" s="248"/>
      <c r="I42" s="248"/>
      <c r="J42" s="248"/>
      <c r="K42" s="248"/>
      <c r="L42" s="248"/>
      <c r="M42" s="248"/>
    </row>
    <row r="43" spans="1:57" s="122" customFormat="1" ht="30" customHeight="1" x14ac:dyDescent="0.25">
      <c r="A43" s="120"/>
      <c r="B43" s="121"/>
      <c r="C43" s="248"/>
      <c r="D43" s="248"/>
      <c r="E43" s="248"/>
      <c r="F43" s="248"/>
      <c r="G43" s="248"/>
      <c r="H43" s="248"/>
      <c r="I43" s="248"/>
      <c r="J43" s="248"/>
      <c r="K43" s="248"/>
      <c r="L43" s="248"/>
      <c r="M43" s="248"/>
    </row>
    <row r="44" spans="1:57" x14ac:dyDescent="0.25">
      <c r="B44" s="45" t="s">
        <v>69</v>
      </c>
      <c r="C44" s="45" t="s">
        <v>70</v>
      </c>
      <c r="G44" s="40"/>
    </row>
    <row r="45" spans="1:57" x14ac:dyDescent="0.25">
      <c r="B45" s="45" t="s">
        <v>71</v>
      </c>
      <c r="C45" s="45" t="s">
        <v>72</v>
      </c>
      <c r="G45" s="40"/>
    </row>
    <row r="46" spans="1:57" x14ac:dyDescent="0.25">
      <c r="A46" s="52"/>
      <c r="B46" s="52"/>
      <c r="C46" s="98"/>
      <c r="D46" s="52"/>
      <c r="E46" s="52"/>
      <c r="F46" s="40"/>
    </row>
    <row r="47" spans="1:57" x14ac:dyDescent="0.25">
      <c r="A47" s="46" t="s">
        <v>73</v>
      </c>
      <c r="B47" s="1" t="s">
        <v>74</v>
      </c>
      <c r="C47" s="46" t="s">
        <v>75</v>
      </c>
      <c r="D47" s="25"/>
      <c r="F47" s="47"/>
    </row>
    <row r="48" spans="1:57" x14ac:dyDescent="0.25">
      <c r="A48" s="25"/>
      <c r="B48" s="1" t="s">
        <v>76</v>
      </c>
      <c r="C48" s="47" t="s">
        <v>77</v>
      </c>
      <c r="D48" s="25"/>
      <c r="F48" s="47"/>
    </row>
    <row r="49" spans="1:12" x14ac:dyDescent="0.25">
      <c r="A49" s="25"/>
      <c r="B49" s="1" t="s">
        <v>78</v>
      </c>
      <c r="C49" s="47" t="s">
        <v>79</v>
      </c>
      <c r="D49" s="25"/>
      <c r="F49" s="47"/>
    </row>
    <row r="50" spans="1:12" x14ac:dyDescent="0.25">
      <c r="A50" s="25"/>
      <c r="B50" s="1" t="s">
        <v>80</v>
      </c>
      <c r="C50" s="47" t="s">
        <v>81</v>
      </c>
      <c r="D50" s="25"/>
      <c r="F50" s="47"/>
    </row>
    <row r="51" spans="1:12" x14ac:dyDescent="0.25">
      <c r="F51" s="52"/>
      <c r="G51" s="52"/>
      <c r="H51" s="52"/>
      <c r="I51" s="52"/>
      <c r="J51" s="52"/>
      <c r="K51" s="52"/>
      <c r="L51" s="52"/>
    </row>
    <row r="52" spans="1:12" x14ac:dyDescent="0.25">
      <c r="A52" s="1" t="s">
        <v>82</v>
      </c>
      <c r="C52" s="1" t="s">
        <v>83</v>
      </c>
      <c r="F52" s="99"/>
      <c r="G52" s="99"/>
      <c r="H52" s="99"/>
      <c r="I52" s="99"/>
      <c r="J52" s="99"/>
      <c r="K52" s="99"/>
      <c r="L52" s="99"/>
    </row>
    <row r="53" spans="1:12" x14ac:dyDescent="0.25">
      <c r="A53" s="99"/>
      <c r="F53" s="99"/>
      <c r="G53" s="99"/>
      <c r="H53" s="99"/>
      <c r="I53" s="99"/>
      <c r="J53" s="99"/>
      <c r="K53" s="99"/>
      <c r="L53" s="99"/>
    </row>
    <row r="54" spans="1:12" x14ac:dyDescent="0.25">
      <c r="A54" s="52" t="s">
        <v>84</v>
      </c>
      <c r="B54" s="52"/>
      <c r="C54" s="52"/>
      <c r="D54" s="52"/>
      <c r="E54" s="52"/>
      <c r="F54" s="99"/>
      <c r="G54" s="99"/>
      <c r="H54" s="99"/>
      <c r="I54" s="99"/>
      <c r="J54" s="99"/>
      <c r="K54" s="99"/>
      <c r="L54" s="99"/>
    </row>
    <row r="57" spans="1:12" x14ac:dyDescent="0.25">
      <c r="A57" s="166" t="s">
        <v>85</v>
      </c>
      <c r="B57" s="191">
        <v>1.8</v>
      </c>
      <c r="C57" s="192" t="s">
        <v>156</v>
      </c>
    </row>
    <row r="58" spans="1:12" x14ac:dyDescent="0.25">
      <c r="A58" s="166"/>
      <c r="B58" s="191">
        <v>3.6</v>
      </c>
      <c r="C58" s="192" t="s">
        <v>157</v>
      </c>
    </row>
  </sheetData>
  <mergeCells count="40">
    <mergeCell ref="D2:E2"/>
    <mergeCell ref="G2:H2"/>
    <mergeCell ref="J2:K2"/>
    <mergeCell ref="M2:N2"/>
    <mergeCell ref="P2:Q2"/>
    <mergeCell ref="AZ2:BA2"/>
    <mergeCell ref="BC2:BD2"/>
    <mergeCell ref="V2:W2"/>
    <mergeCell ref="Y2:Z2"/>
    <mergeCell ref="AB2:AC2"/>
    <mergeCell ref="AE2:AF2"/>
    <mergeCell ref="AH2:AI2"/>
    <mergeCell ref="AK2:AL2"/>
    <mergeCell ref="M36:N36"/>
    <mergeCell ref="AN2:AO2"/>
    <mergeCell ref="AQ2:AR2"/>
    <mergeCell ref="AT2:AU2"/>
    <mergeCell ref="AW2:AX2"/>
    <mergeCell ref="S2:T2"/>
    <mergeCell ref="B30:E30"/>
    <mergeCell ref="B31:F31"/>
    <mergeCell ref="D36:E36"/>
    <mergeCell ref="G36:H36"/>
    <mergeCell ref="J36:K36"/>
    <mergeCell ref="AZ36:BA36"/>
    <mergeCell ref="BC36:BD36"/>
    <mergeCell ref="A39:C39"/>
    <mergeCell ref="C42:M43"/>
    <mergeCell ref="AH36:AI36"/>
    <mergeCell ref="AK36:AL36"/>
    <mergeCell ref="AN36:AO36"/>
    <mergeCell ref="AQ36:AR36"/>
    <mergeCell ref="AT36:AU36"/>
    <mergeCell ref="AW36:AX36"/>
    <mergeCell ref="P36:Q36"/>
    <mergeCell ref="S36:T36"/>
    <mergeCell ref="V36:W36"/>
    <mergeCell ref="Y36:Z36"/>
    <mergeCell ref="AB36:AC36"/>
    <mergeCell ref="AE36:AF36"/>
  </mergeCells>
  <pageMargins left="0.7" right="0.7" top="0.75" bottom="0.75" header="0.3" footer="0.3"/>
  <pageSetup paperSize="9" orientation="portrait" horizontalDpi="4294967295" verticalDpi="4294967295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2447D-254B-4FF8-8AB4-EAC76724B478}">
  <sheetPr>
    <tabColor theme="4" tint="0.59999389629810485"/>
  </sheetPr>
  <dimension ref="A1:BE54"/>
  <sheetViews>
    <sheetView zoomScale="85" zoomScaleNormal="8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E6" sqref="E6"/>
    </sheetView>
  </sheetViews>
  <sheetFormatPr defaultColWidth="8.85546875" defaultRowHeight="15" x14ac:dyDescent="0.25"/>
  <cols>
    <col min="1" max="1" width="27" style="1" customWidth="1"/>
    <col min="2" max="2" width="8.85546875" style="1" customWidth="1"/>
    <col min="3" max="3" width="32.140625" style="1" customWidth="1"/>
    <col min="4" max="5" width="10" style="1" customWidth="1"/>
    <col min="6" max="6" width="3.7109375" style="1" customWidth="1"/>
    <col min="7" max="8" width="9.7109375" style="1" customWidth="1"/>
    <col min="9" max="9" width="3.7109375" style="1" customWidth="1"/>
    <col min="10" max="11" width="9.7109375" style="1" customWidth="1"/>
    <col min="12" max="12" width="3.7109375" style="1" customWidth="1"/>
    <col min="13" max="13" width="13" style="1" customWidth="1"/>
    <col min="14" max="14" width="11.85546875" style="1" bestFit="1" customWidth="1"/>
    <col min="15" max="15" width="3.7109375" style="1" customWidth="1"/>
    <col min="16" max="17" width="9.7109375" style="1" customWidth="1"/>
    <col min="18" max="18" width="3.7109375" style="1" customWidth="1"/>
    <col min="19" max="20" width="9.7109375" style="1" customWidth="1"/>
    <col min="21" max="21" width="5.140625" style="1" customWidth="1"/>
    <col min="22" max="22" width="12.42578125" style="1" customWidth="1"/>
    <col min="23" max="23" width="11.85546875" style="1" customWidth="1"/>
    <col min="24" max="24" width="6.140625" style="1" customWidth="1"/>
    <col min="25" max="25" width="12.42578125" style="1" customWidth="1"/>
    <col min="26" max="26" width="11.85546875" style="1" customWidth="1"/>
    <col min="27" max="27" width="3.7109375" style="1" customWidth="1"/>
    <col min="28" max="29" width="9.7109375" style="1" customWidth="1"/>
    <col min="30" max="30" width="3.7109375" style="1" customWidth="1"/>
    <col min="31" max="32" width="9.7109375" style="1" customWidth="1"/>
    <col min="33" max="33" width="3.7109375" style="1" customWidth="1"/>
    <col min="34" max="35" width="9.7109375" style="1" customWidth="1"/>
    <col min="36" max="36" width="3.7109375" style="1" customWidth="1"/>
    <col min="37" max="38" width="9.7109375" style="1" customWidth="1"/>
    <col min="39" max="39" width="3.7109375" style="1" customWidth="1"/>
    <col min="40" max="41" width="9.7109375" style="1" customWidth="1"/>
    <col min="42" max="42" width="3.7109375" style="1" customWidth="1"/>
    <col min="43" max="44" width="9.7109375" style="1" customWidth="1"/>
    <col min="45" max="45" width="3.7109375" style="1" customWidth="1"/>
    <col min="46" max="47" width="9.7109375" style="1" customWidth="1"/>
    <col min="48" max="48" width="3.7109375" style="1" customWidth="1"/>
    <col min="49" max="50" width="9.7109375" style="1" customWidth="1"/>
    <col min="51" max="51" width="3.7109375" style="1" customWidth="1"/>
    <col min="52" max="53" width="9.7109375" style="1" customWidth="1"/>
    <col min="54" max="54" width="3.7109375" style="1" customWidth="1"/>
    <col min="55" max="55" width="11.85546875" style="1" customWidth="1"/>
    <col min="56" max="56" width="10.42578125" style="1" customWidth="1"/>
    <col min="57" max="57" width="8.140625" style="1" customWidth="1"/>
    <col min="58" max="16384" width="8.85546875" style="1"/>
  </cols>
  <sheetData>
    <row r="1" spans="1:57" ht="15" customHeight="1" thickBot="1" x14ac:dyDescent="0.3">
      <c r="A1" s="184" t="s">
        <v>89</v>
      </c>
      <c r="B1" s="55"/>
      <c r="C1" s="171" t="s">
        <v>0</v>
      </c>
      <c r="D1" s="163">
        <v>0.06</v>
      </c>
      <c r="E1" s="18"/>
      <c r="F1" s="18"/>
      <c r="G1" s="194">
        <v>9.1999999999999998E-2</v>
      </c>
      <c r="H1" s="170" t="s">
        <v>1</v>
      </c>
      <c r="I1" s="18"/>
      <c r="J1" s="18"/>
      <c r="K1" s="18"/>
      <c r="L1" s="18"/>
      <c r="M1" s="92">
        <v>0.1</v>
      </c>
      <c r="N1" s="18"/>
      <c r="O1" s="18"/>
      <c r="P1" s="18"/>
      <c r="Q1" s="18"/>
      <c r="R1" s="18"/>
      <c r="S1" s="18"/>
      <c r="T1" s="18"/>
      <c r="U1" s="18"/>
      <c r="V1" s="92"/>
      <c r="W1" s="18"/>
      <c r="X1" s="92"/>
      <c r="Y1" s="91">
        <v>0.5</v>
      </c>
      <c r="Z1" s="18"/>
      <c r="AL1" s="83">
        <v>0.1</v>
      </c>
    </row>
    <row r="2" spans="1:57" ht="48" customHeight="1" x14ac:dyDescent="0.25">
      <c r="A2" s="190" t="s">
        <v>155</v>
      </c>
      <c r="D2" s="244" t="s">
        <v>128</v>
      </c>
      <c r="E2" s="244"/>
      <c r="F2" s="95"/>
      <c r="G2" s="245" t="s">
        <v>3</v>
      </c>
      <c r="H2" s="245"/>
      <c r="I2" s="18"/>
      <c r="J2" s="245" t="s">
        <v>4</v>
      </c>
      <c r="K2" s="245"/>
      <c r="L2" s="18"/>
      <c r="M2" s="219" t="s">
        <v>5</v>
      </c>
      <c r="N2" s="219"/>
      <c r="O2" s="18"/>
      <c r="P2" s="219" t="s">
        <v>6</v>
      </c>
      <c r="Q2" s="219"/>
      <c r="R2" s="18"/>
      <c r="S2" s="219" t="s">
        <v>7</v>
      </c>
      <c r="T2" s="219"/>
      <c r="U2" s="18"/>
      <c r="V2" s="214" t="s">
        <v>8</v>
      </c>
      <c r="W2" s="214"/>
      <c r="X2" s="52"/>
      <c r="Y2" s="211" t="s">
        <v>9</v>
      </c>
      <c r="Z2" s="211"/>
      <c r="AB2" s="215" t="s">
        <v>10</v>
      </c>
      <c r="AC2" s="215"/>
      <c r="AE2" s="211" t="s">
        <v>11</v>
      </c>
      <c r="AF2" s="211"/>
      <c r="AH2" s="211" t="s">
        <v>12</v>
      </c>
      <c r="AI2" s="211"/>
      <c r="AK2" s="211" t="s">
        <v>13</v>
      </c>
      <c r="AL2" s="211"/>
      <c r="AN2" s="211" t="s">
        <v>14</v>
      </c>
      <c r="AO2" s="211"/>
      <c r="AQ2" s="212" t="s">
        <v>15</v>
      </c>
      <c r="AR2" s="212"/>
      <c r="AT2" s="211" t="s">
        <v>16</v>
      </c>
      <c r="AU2" s="211"/>
      <c r="AW2" s="213" t="s">
        <v>17</v>
      </c>
      <c r="AX2" s="213"/>
      <c r="AZ2" s="213" t="s">
        <v>18</v>
      </c>
      <c r="BA2" s="213"/>
      <c r="BC2" s="213" t="s">
        <v>129</v>
      </c>
      <c r="BD2" s="213"/>
    </row>
    <row r="3" spans="1:57" s="52" customFormat="1" ht="60" customHeight="1" x14ac:dyDescent="0.25">
      <c r="A3" s="97"/>
      <c r="D3" s="195" t="s">
        <v>130</v>
      </c>
      <c r="E3" s="147" t="s">
        <v>131</v>
      </c>
      <c r="F3" s="35"/>
      <c r="G3" s="151" t="s">
        <v>130</v>
      </c>
      <c r="H3" s="152" t="s">
        <v>131</v>
      </c>
      <c r="J3" s="151" t="s">
        <v>130</v>
      </c>
      <c r="K3" s="152" t="s">
        <v>131</v>
      </c>
      <c r="M3" s="132" t="s">
        <v>130</v>
      </c>
      <c r="N3" s="133" t="s">
        <v>131</v>
      </c>
      <c r="P3" s="132" t="s">
        <v>130</v>
      </c>
      <c r="Q3" s="133" t="s">
        <v>131</v>
      </c>
      <c r="S3" s="132" t="s">
        <v>130</v>
      </c>
      <c r="T3" s="133" t="s">
        <v>131</v>
      </c>
      <c r="V3" s="96" t="s">
        <v>130</v>
      </c>
      <c r="W3" s="95" t="s">
        <v>131</v>
      </c>
      <c r="Y3" s="96" t="s">
        <v>130</v>
      </c>
      <c r="Z3" s="95" t="s">
        <v>131</v>
      </c>
      <c r="AB3" s="96" t="s">
        <v>130</v>
      </c>
      <c r="AC3" s="95" t="s">
        <v>131</v>
      </c>
      <c r="AE3" s="96" t="s">
        <v>130</v>
      </c>
      <c r="AF3" s="95" t="s">
        <v>131</v>
      </c>
      <c r="AG3" s="34"/>
      <c r="AH3" s="96" t="s">
        <v>130</v>
      </c>
      <c r="AI3" s="95" t="s">
        <v>131</v>
      </c>
      <c r="AK3" s="128" t="s">
        <v>130</v>
      </c>
      <c r="AL3" s="129" t="s">
        <v>131</v>
      </c>
      <c r="AN3" s="96" t="s">
        <v>130</v>
      </c>
      <c r="AO3" s="95" t="s">
        <v>131</v>
      </c>
      <c r="AQ3" s="196" t="s">
        <v>130</v>
      </c>
      <c r="AR3" s="142" t="s">
        <v>131</v>
      </c>
      <c r="AT3" s="197" t="s">
        <v>130</v>
      </c>
      <c r="AU3" s="129" t="s">
        <v>131</v>
      </c>
      <c r="AW3" s="96" t="s">
        <v>130</v>
      </c>
      <c r="AX3" s="95" t="s">
        <v>131</v>
      </c>
      <c r="AZ3" s="96" t="s">
        <v>130</v>
      </c>
      <c r="BA3" s="95" t="s">
        <v>131</v>
      </c>
      <c r="BC3" s="139" t="s">
        <v>130</v>
      </c>
      <c r="BD3" s="95" t="s">
        <v>131</v>
      </c>
    </row>
    <row r="4" spans="1:57" x14ac:dyDescent="0.25">
      <c r="A4" s="167" t="s">
        <v>132</v>
      </c>
      <c r="B4" s="4"/>
      <c r="D4" s="137"/>
      <c r="E4" s="148"/>
      <c r="F4" s="39"/>
      <c r="G4" s="138"/>
      <c r="H4" s="138"/>
      <c r="J4" s="154"/>
      <c r="K4" s="154"/>
      <c r="M4" s="123"/>
      <c r="N4" s="123"/>
      <c r="P4" s="123"/>
      <c r="Q4" s="123"/>
      <c r="S4" s="140"/>
      <c r="T4" s="140"/>
      <c r="V4" s="75"/>
      <c r="AK4" s="131"/>
      <c r="AL4" s="131"/>
      <c r="AQ4" s="143"/>
      <c r="AR4" s="143"/>
      <c r="AT4" s="131"/>
      <c r="AU4" s="131"/>
    </row>
    <row r="5" spans="1:57" x14ac:dyDescent="0.25">
      <c r="A5" t="s">
        <v>133</v>
      </c>
      <c r="D5" s="162">
        <v>31.74</v>
      </c>
      <c r="E5" s="162">
        <v>42.94</v>
      </c>
      <c r="F5" s="81"/>
      <c r="G5" s="153">
        <f t="shared" ref="G5:H8" si="0">D5*SUM(1+$G$1/$Y$1)</f>
        <v>37.580159999999999</v>
      </c>
      <c r="H5" s="153">
        <f t="shared" si="0"/>
        <v>50.840959999999995</v>
      </c>
      <c r="I5" s="83"/>
      <c r="J5" s="155">
        <f>G5-D5</f>
        <v>5.8401600000000009</v>
      </c>
      <c r="K5" s="155">
        <f>H5-E5</f>
        <v>7.9009599999999978</v>
      </c>
      <c r="L5" s="83"/>
      <c r="M5" s="134">
        <f>ROUND(D5*(1+$G$1*2),2)*SUM(1+$M$1)</f>
        <v>41.338000000000001</v>
      </c>
      <c r="N5" s="134">
        <f>ROUND(E5*(1+$G$1*2),2)*SUM(1+$M$1)</f>
        <v>55.924000000000007</v>
      </c>
      <c r="P5" s="134">
        <f>M5-D5</f>
        <v>9.5980000000000025</v>
      </c>
      <c r="Q5" s="134">
        <f>N5-E5</f>
        <v>12.984000000000009</v>
      </c>
      <c r="S5" s="141">
        <f t="shared" ref="S5:T8" si="1">AK5/G5</f>
        <v>0.10005279381460856</v>
      </c>
      <c r="T5" s="141">
        <f t="shared" si="1"/>
        <v>9.9919435038205426E-2</v>
      </c>
      <c r="V5" s="41">
        <f t="shared" ref="V5:W8" si="2">SUM(D5/(1-$Y$1))</f>
        <v>63.48</v>
      </c>
      <c r="W5" s="41">
        <f t="shared" si="2"/>
        <v>85.88</v>
      </c>
      <c r="X5" s="82"/>
      <c r="Y5" s="41">
        <f>ROUND(D5/(1-$Y$1)*1.2,2)</f>
        <v>76.180000000000007</v>
      </c>
      <c r="Z5" s="41">
        <f>ROUND(E5/(1-$Y$1)*1.2,2)</f>
        <v>103.06</v>
      </c>
      <c r="AB5" s="182">
        <f>ROUNDDOWN(D5/(1-$Y$1)*1.2,1)</f>
        <v>76.099999999999994</v>
      </c>
      <c r="AC5" s="182">
        <f>ROUNDDOWN(E5/(1-$Y$1)*1.2,1)</f>
        <v>103</v>
      </c>
      <c r="AE5" s="40">
        <f>AB5/1.2</f>
        <v>63.416666666666664</v>
      </c>
      <c r="AF5" s="40">
        <f>AC5/1.2</f>
        <v>85.833333333333343</v>
      </c>
      <c r="AH5" s="40">
        <f>Y5-AB5</f>
        <v>8.0000000000012506E-2</v>
      </c>
      <c r="AI5" s="40">
        <f>Z5-AC5</f>
        <v>6.0000000000002274E-2</v>
      </c>
      <c r="AK5" s="130">
        <f t="shared" ref="AK5:AL8" si="3">ROUND(M5*(1-(1/(1+$AL$1))),2)</f>
        <v>3.76</v>
      </c>
      <c r="AL5" s="130">
        <f t="shared" si="3"/>
        <v>5.08</v>
      </c>
      <c r="AM5" s="40"/>
      <c r="AN5" s="40">
        <f>SUM(V5-G5)-AH5</f>
        <v>25.819839999999985</v>
      </c>
      <c r="AO5" s="40">
        <f>SUM(W5-H5)-AI5</f>
        <v>34.979039999999998</v>
      </c>
      <c r="AP5" s="40"/>
      <c r="AQ5" s="144">
        <f t="shared" ref="AQ5:AR8" si="4">(SUM(G5-D5)/D5*$Y$1)</f>
        <v>9.2000000000000012E-2</v>
      </c>
      <c r="AR5" s="144">
        <f t="shared" si="4"/>
        <v>9.1999999999999985E-2</v>
      </c>
      <c r="AS5" s="40"/>
      <c r="AT5" s="146">
        <f t="shared" ref="AT5:AU8" si="5">AN5/V5</f>
        <v>0.40673976055450511</v>
      </c>
      <c r="AU5" s="146">
        <f t="shared" si="5"/>
        <v>0.40730135072193757</v>
      </c>
      <c r="AV5" s="40"/>
      <c r="AW5" s="76">
        <f t="shared" ref="AW5:AX8" si="6">D5/V5</f>
        <v>0.5</v>
      </c>
      <c r="AX5" s="76">
        <f t="shared" si="6"/>
        <v>0.5</v>
      </c>
      <c r="AY5" s="42"/>
      <c r="AZ5" s="42">
        <f t="shared" ref="AZ5:BA8" si="7">J5+AN5</f>
        <v>31.659999999999986</v>
      </c>
      <c r="BA5" s="42">
        <f t="shared" si="7"/>
        <v>42.879999999999995</v>
      </c>
      <c r="BB5" s="42"/>
      <c r="BC5" s="76">
        <f t="shared" ref="BC5:BD8" si="8">AZ5/(D5/$Y$1)</f>
        <v>0.49873976055450514</v>
      </c>
      <c r="BD5" s="76">
        <f t="shared" si="8"/>
        <v>0.49930135072193754</v>
      </c>
      <c r="BE5" s="42"/>
    </row>
    <row r="6" spans="1:57" x14ac:dyDescent="0.25">
      <c r="A6" t="s">
        <v>134</v>
      </c>
      <c r="D6" s="162">
        <f>D5*1.5</f>
        <v>47.61</v>
      </c>
      <c r="E6" s="162">
        <f>E5*1.5</f>
        <v>64.41</v>
      </c>
      <c r="F6" s="81"/>
      <c r="G6" s="153">
        <f t="shared" si="0"/>
        <v>56.370239999999995</v>
      </c>
      <c r="H6" s="153">
        <f t="shared" si="0"/>
        <v>76.261439999999993</v>
      </c>
      <c r="I6" s="83"/>
      <c r="J6" s="155">
        <f>G6-D6</f>
        <v>8.760239999999996</v>
      </c>
      <c r="K6" s="155">
        <f>H6-E6</f>
        <v>11.851439999999997</v>
      </c>
      <c r="L6" s="83"/>
      <c r="M6" s="134">
        <f t="shared" ref="M6:N8" si="9">ROUND(D6*(1+$G$1*2),2)*SUM(1+$M$1)</f>
        <v>62.007000000000005</v>
      </c>
      <c r="N6" s="134">
        <f t="shared" si="9"/>
        <v>83.88600000000001</v>
      </c>
      <c r="P6" s="134">
        <f>M6-D6</f>
        <v>14.397000000000006</v>
      </c>
      <c r="Q6" s="134">
        <f>N6-E6</f>
        <v>19.476000000000013</v>
      </c>
      <c r="S6" s="141">
        <f t="shared" si="1"/>
        <v>0.10005279381460856</v>
      </c>
      <c r="T6" s="141">
        <f t="shared" si="1"/>
        <v>0.10005056290570963</v>
      </c>
      <c r="V6" s="41">
        <f t="shared" si="2"/>
        <v>95.22</v>
      </c>
      <c r="W6" s="41">
        <f t="shared" si="2"/>
        <v>128.82</v>
      </c>
      <c r="X6" s="82"/>
      <c r="Y6" s="41">
        <f t="shared" ref="Y6:Z8" si="10">ROUND(D6/(1-$Y$1)*1.2,2)</f>
        <v>114.26</v>
      </c>
      <c r="Z6" s="41">
        <f t="shared" si="10"/>
        <v>154.58000000000001</v>
      </c>
      <c r="AB6" s="182">
        <f t="shared" ref="AB6:AC8" si="11">ROUNDDOWN(D6/(1-$Y$1)*1.2,1)</f>
        <v>114.2</v>
      </c>
      <c r="AC6" s="182">
        <f t="shared" si="11"/>
        <v>154.5</v>
      </c>
      <c r="AE6" s="40">
        <f t="shared" ref="AE6:AF8" si="12">AB6/1.2</f>
        <v>95.166666666666671</v>
      </c>
      <c r="AF6" s="40">
        <f t="shared" si="12"/>
        <v>128.75</v>
      </c>
      <c r="AH6" s="40">
        <f t="shared" ref="AH6:AI8" si="13">Y6-AB6</f>
        <v>6.0000000000002274E-2</v>
      </c>
      <c r="AI6" s="40">
        <f t="shared" si="13"/>
        <v>8.0000000000012506E-2</v>
      </c>
      <c r="AK6" s="130">
        <f t="shared" si="3"/>
        <v>5.64</v>
      </c>
      <c r="AL6" s="130">
        <f t="shared" si="3"/>
        <v>7.63</v>
      </c>
      <c r="AM6" s="40"/>
      <c r="AN6" s="40">
        <f t="shared" ref="AN6:AN8" si="14">SUM(V6-G6)-AH6</f>
        <v>38.789760000000001</v>
      </c>
      <c r="AO6" s="40">
        <f t="shared" ref="AO6:AO8" si="15">SUM(W6-H6)-AI6</f>
        <v>52.478559999999987</v>
      </c>
      <c r="AP6" s="40"/>
      <c r="AQ6" s="144">
        <f t="shared" si="4"/>
        <v>9.1999999999999957E-2</v>
      </c>
      <c r="AR6" s="144">
        <f t="shared" si="4"/>
        <v>9.1999999999999985E-2</v>
      </c>
      <c r="AS6" s="40"/>
      <c r="AT6" s="146">
        <f t="shared" si="5"/>
        <v>0.40736988027725268</v>
      </c>
      <c r="AU6" s="146">
        <f t="shared" si="5"/>
        <v>0.40737897841949999</v>
      </c>
      <c r="AV6" s="40"/>
      <c r="AW6" s="76">
        <f t="shared" si="6"/>
        <v>0.5</v>
      </c>
      <c r="AX6" s="76">
        <f t="shared" si="6"/>
        <v>0.5</v>
      </c>
      <c r="AY6" s="42"/>
      <c r="AZ6" s="42">
        <f t="shared" si="7"/>
        <v>47.55</v>
      </c>
      <c r="BA6" s="42">
        <f t="shared" si="7"/>
        <v>64.329999999999984</v>
      </c>
      <c r="BB6" s="42"/>
      <c r="BC6" s="76">
        <f t="shared" si="8"/>
        <v>0.49936988027725265</v>
      </c>
      <c r="BD6" s="76">
        <f t="shared" si="8"/>
        <v>0.49937897841949996</v>
      </c>
      <c r="BE6" s="42"/>
    </row>
    <row r="7" spans="1:57" x14ac:dyDescent="0.25">
      <c r="A7" t="s">
        <v>135</v>
      </c>
      <c r="D7" s="162">
        <v>53.25</v>
      </c>
      <c r="E7" s="162">
        <v>73.739999999999995</v>
      </c>
      <c r="F7" s="81"/>
      <c r="G7" s="153">
        <f t="shared" si="0"/>
        <v>63.047999999999995</v>
      </c>
      <c r="H7" s="153">
        <f t="shared" si="0"/>
        <v>87.308159999999987</v>
      </c>
      <c r="J7" s="155">
        <f t="shared" ref="J7:K8" si="16">G7-D7</f>
        <v>9.7979999999999947</v>
      </c>
      <c r="K7" s="155">
        <f t="shared" si="16"/>
        <v>13.568159999999992</v>
      </c>
      <c r="M7" s="134">
        <f t="shared" si="9"/>
        <v>69.355000000000004</v>
      </c>
      <c r="N7" s="134">
        <f t="shared" si="9"/>
        <v>96.041000000000011</v>
      </c>
      <c r="P7" s="134">
        <f t="shared" ref="P7:Q8" si="17">M7-D7</f>
        <v>16.105000000000004</v>
      </c>
      <c r="Q7" s="134">
        <f t="shared" si="17"/>
        <v>22.301000000000016</v>
      </c>
      <c r="S7" s="141">
        <f t="shared" si="1"/>
        <v>0.10008247684304022</v>
      </c>
      <c r="T7" s="141">
        <f t="shared" si="1"/>
        <v>9.9990653794559431E-2</v>
      </c>
      <c r="V7" s="41">
        <f t="shared" si="2"/>
        <v>106.5</v>
      </c>
      <c r="W7" s="41">
        <f t="shared" si="2"/>
        <v>147.47999999999999</v>
      </c>
      <c r="Y7" s="41">
        <f t="shared" si="10"/>
        <v>127.8</v>
      </c>
      <c r="Z7" s="41">
        <f t="shared" si="10"/>
        <v>176.98</v>
      </c>
      <c r="AB7" s="182">
        <f t="shared" si="11"/>
        <v>127.8</v>
      </c>
      <c r="AC7" s="182">
        <f t="shared" si="11"/>
        <v>176.9</v>
      </c>
      <c r="AE7" s="40">
        <f t="shared" si="12"/>
        <v>106.5</v>
      </c>
      <c r="AF7" s="40">
        <f t="shared" si="12"/>
        <v>147.41666666666669</v>
      </c>
      <c r="AH7" s="40">
        <f t="shared" si="13"/>
        <v>0</v>
      </c>
      <c r="AI7" s="40">
        <f t="shared" si="13"/>
        <v>7.9999999999984084E-2</v>
      </c>
      <c r="AK7" s="130">
        <f t="shared" si="3"/>
        <v>6.31</v>
      </c>
      <c r="AL7" s="130">
        <f t="shared" si="3"/>
        <v>8.73</v>
      </c>
      <c r="AM7" s="40"/>
      <c r="AN7" s="40">
        <f t="shared" si="14"/>
        <v>43.452000000000005</v>
      </c>
      <c r="AO7" s="40">
        <f t="shared" si="15"/>
        <v>60.091840000000019</v>
      </c>
      <c r="AP7" s="40"/>
      <c r="AQ7" s="144">
        <f t="shared" si="4"/>
        <v>9.1999999999999957E-2</v>
      </c>
      <c r="AR7" s="144">
        <f t="shared" si="4"/>
        <v>9.1999999999999957E-2</v>
      </c>
      <c r="AS7" s="40"/>
      <c r="AT7" s="146">
        <f t="shared" si="5"/>
        <v>0.40800000000000003</v>
      </c>
      <c r="AU7" s="146">
        <f t="shared" si="5"/>
        <v>0.40745755356658547</v>
      </c>
      <c r="AV7" s="40"/>
      <c r="AW7" s="76">
        <f t="shared" si="6"/>
        <v>0.5</v>
      </c>
      <c r="AX7" s="76">
        <f t="shared" si="6"/>
        <v>0.5</v>
      </c>
      <c r="AY7" s="42"/>
      <c r="AZ7" s="42">
        <f t="shared" si="7"/>
        <v>53.25</v>
      </c>
      <c r="BA7" s="42">
        <f t="shared" si="7"/>
        <v>73.660000000000011</v>
      </c>
      <c r="BB7" s="42"/>
      <c r="BC7" s="76">
        <f t="shared" si="8"/>
        <v>0.5</v>
      </c>
      <c r="BD7" s="76">
        <f t="shared" si="8"/>
        <v>0.49945755356658539</v>
      </c>
      <c r="BE7" s="42"/>
    </row>
    <row r="8" spans="1:57" x14ac:dyDescent="0.25">
      <c r="A8" t="s">
        <v>136</v>
      </c>
      <c r="D8" s="162">
        <v>55.51</v>
      </c>
      <c r="E8" s="162">
        <v>76.03</v>
      </c>
      <c r="F8" s="81"/>
      <c r="G8" s="153">
        <f t="shared" si="0"/>
        <v>65.723839999999996</v>
      </c>
      <c r="H8" s="153">
        <f t="shared" si="0"/>
        <v>90.01952</v>
      </c>
      <c r="J8" s="155">
        <f t="shared" si="16"/>
        <v>10.213839999999998</v>
      </c>
      <c r="K8" s="155">
        <f t="shared" si="16"/>
        <v>13.989519999999999</v>
      </c>
      <c r="M8" s="134">
        <f t="shared" si="9"/>
        <v>72.292000000000002</v>
      </c>
      <c r="N8" s="134">
        <f t="shared" si="9"/>
        <v>99.022000000000006</v>
      </c>
      <c r="P8" s="134">
        <f t="shared" si="17"/>
        <v>16.782000000000004</v>
      </c>
      <c r="Q8" s="134">
        <f t="shared" si="17"/>
        <v>22.992000000000004</v>
      </c>
      <c r="S8" s="141">
        <f t="shared" si="1"/>
        <v>9.9963727012907358E-2</v>
      </c>
      <c r="T8" s="141">
        <f t="shared" si="1"/>
        <v>9.9978315814170077E-2</v>
      </c>
      <c r="V8" s="41">
        <f t="shared" si="2"/>
        <v>111.02</v>
      </c>
      <c r="W8" s="41">
        <f t="shared" si="2"/>
        <v>152.06</v>
      </c>
      <c r="Y8" s="41">
        <f t="shared" si="10"/>
        <v>133.22</v>
      </c>
      <c r="Z8" s="41">
        <f t="shared" si="10"/>
        <v>182.47</v>
      </c>
      <c r="AB8" s="182">
        <f t="shared" si="11"/>
        <v>133.19999999999999</v>
      </c>
      <c r="AC8" s="182">
        <f t="shared" si="11"/>
        <v>182.4</v>
      </c>
      <c r="AE8" s="40">
        <f t="shared" si="12"/>
        <v>111</v>
      </c>
      <c r="AF8" s="40">
        <f t="shared" si="12"/>
        <v>152</v>
      </c>
      <c r="AH8" s="40">
        <f t="shared" si="13"/>
        <v>2.0000000000010232E-2</v>
      </c>
      <c r="AI8" s="40">
        <f t="shared" si="13"/>
        <v>6.9999999999993179E-2</v>
      </c>
      <c r="AK8" s="130">
        <f t="shared" si="3"/>
        <v>6.57</v>
      </c>
      <c r="AL8" s="130">
        <f t="shared" si="3"/>
        <v>9</v>
      </c>
      <c r="AM8" s="40"/>
      <c r="AN8" s="40">
        <f t="shared" si="14"/>
        <v>45.27615999999999</v>
      </c>
      <c r="AO8" s="40">
        <f t="shared" si="15"/>
        <v>61.970480000000009</v>
      </c>
      <c r="AP8" s="40"/>
      <c r="AQ8" s="144">
        <f t="shared" si="4"/>
        <v>9.1999999999999985E-2</v>
      </c>
      <c r="AR8" s="144">
        <f t="shared" si="4"/>
        <v>9.1999999999999985E-2</v>
      </c>
      <c r="AS8" s="40"/>
      <c r="AT8" s="146">
        <f t="shared" si="5"/>
        <v>0.40781985227886858</v>
      </c>
      <c r="AU8" s="146">
        <f t="shared" si="5"/>
        <v>0.40753965539918457</v>
      </c>
      <c r="AV8" s="40"/>
      <c r="AW8" s="76">
        <f t="shared" si="6"/>
        <v>0.5</v>
      </c>
      <c r="AX8" s="76">
        <f t="shared" si="6"/>
        <v>0.5</v>
      </c>
      <c r="AY8" s="42"/>
      <c r="AZ8" s="42">
        <f t="shared" si="7"/>
        <v>55.489999999999988</v>
      </c>
      <c r="BA8" s="42">
        <f t="shared" si="7"/>
        <v>75.960000000000008</v>
      </c>
      <c r="BB8" s="42"/>
      <c r="BC8" s="76">
        <f t="shared" si="8"/>
        <v>0.4998198522788686</v>
      </c>
      <c r="BD8" s="76">
        <f t="shared" si="8"/>
        <v>0.4995396553991846</v>
      </c>
      <c r="BE8" s="42"/>
    </row>
    <row r="9" spans="1:57" x14ac:dyDescent="0.25">
      <c r="A9"/>
      <c r="D9" s="162"/>
      <c r="E9" s="162"/>
      <c r="F9" s="41"/>
      <c r="G9" s="153"/>
      <c r="H9" s="153"/>
      <c r="I9" s="75"/>
      <c r="J9" s="156"/>
      <c r="K9" s="156"/>
      <c r="L9" s="75"/>
      <c r="M9" s="134"/>
      <c r="N9" s="134"/>
      <c r="P9" s="134"/>
      <c r="Q9" s="134"/>
      <c r="S9" s="140"/>
      <c r="T9" s="140"/>
      <c r="V9" s="40"/>
      <c r="W9" s="40"/>
      <c r="Y9" s="41"/>
      <c r="Z9" s="41"/>
      <c r="AK9" s="130"/>
      <c r="AL9" s="130"/>
      <c r="AM9" s="40"/>
      <c r="AN9" s="40"/>
      <c r="AO9" s="40"/>
      <c r="AP9" s="40"/>
      <c r="AQ9" s="145"/>
      <c r="AR9" s="145"/>
      <c r="AS9" s="40"/>
      <c r="AT9" s="146"/>
      <c r="AU9" s="146"/>
      <c r="AV9" s="40"/>
      <c r="AW9" s="76"/>
      <c r="AX9" s="76"/>
      <c r="AY9" s="42"/>
      <c r="AZ9" s="42"/>
      <c r="BA9" s="42"/>
      <c r="BB9" s="42"/>
      <c r="BC9" s="76"/>
      <c r="BD9" s="76"/>
      <c r="BE9" s="42"/>
    </row>
    <row r="10" spans="1:57" x14ac:dyDescent="0.25">
      <c r="A10" s="167" t="s">
        <v>137</v>
      </c>
      <c r="B10" s="4"/>
      <c r="D10" s="162"/>
      <c r="E10" s="162"/>
      <c r="F10" s="41"/>
      <c r="G10" s="153"/>
      <c r="H10" s="153"/>
      <c r="J10" s="154"/>
      <c r="K10" s="154"/>
      <c r="M10" s="134"/>
      <c r="N10" s="134"/>
      <c r="P10" s="134"/>
      <c r="Q10" s="134"/>
      <c r="S10" s="140"/>
      <c r="T10" s="140"/>
      <c r="V10" s="40"/>
      <c r="W10" s="40"/>
      <c r="Y10" s="41"/>
      <c r="Z10" s="41"/>
      <c r="AK10" s="130"/>
      <c r="AL10" s="130"/>
      <c r="AM10" s="40"/>
      <c r="AN10" s="40"/>
      <c r="AO10" s="40"/>
      <c r="AP10" s="40"/>
      <c r="AQ10" s="145"/>
      <c r="AR10" s="145"/>
      <c r="AS10" s="40"/>
      <c r="AT10" s="146"/>
      <c r="AU10" s="146"/>
      <c r="AV10" s="40"/>
      <c r="AW10" s="76"/>
      <c r="AX10" s="76"/>
      <c r="AY10" s="42"/>
      <c r="AZ10" s="42"/>
      <c r="BA10" s="42"/>
      <c r="BB10" s="42"/>
      <c r="BC10" s="76"/>
      <c r="BD10" s="76"/>
      <c r="BE10" s="42"/>
    </row>
    <row r="11" spans="1:57" x14ac:dyDescent="0.25">
      <c r="A11" t="s">
        <v>133</v>
      </c>
      <c r="D11" s="162">
        <v>31.74</v>
      </c>
      <c r="E11" s="162">
        <v>42.94</v>
      </c>
      <c r="F11" s="81"/>
      <c r="G11" s="153">
        <f t="shared" ref="G11:H14" si="18">D11*SUM(1+$G$1/$Y$1)</f>
        <v>37.580159999999999</v>
      </c>
      <c r="H11" s="153">
        <f t="shared" si="18"/>
        <v>50.840959999999995</v>
      </c>
      <c r="J11" s="155">
        <f t="shared" ref="J11:K14" si="19">G11-D11</f>
        <v>5.8401600000000009</v>
      </c>
      <c r="K11" s="155">
        <f t="shared" si="19"/>
        <v>7.9009599999999978</v>
      </c>
      <c r="M11" s="134">
        <f>ROUND(D11*(1+$G$1*2),2)*SUM(1+$M$1)</f>
        <v>41.338000000000001</v>
      </c>
      <c r="N11" s="134">
        <f>ROUND(E11*(1+$G$1*2),2)*SUM(1+$M$1)</f>
        <v>55.924000000000007</v>
      </c>
      <c r="P11" s="134">
        <f t="shared" ref="P11:Q14" si="20">M11-D11</f>
        <v>9.5980000000000025</v>
      </c>
      <c r="Q11" s="134">
        <f t="shared" si="20"/>
        <v>12.984000000000009</v>
      </c>
      <c r="S11" s="141">
        <f t="shared" ref="S11:T14" si="21">AK11/G11</f>
        <v>0.10005279381460856</v>
      </c>
      <c r="T11" s="141">
        <f t="shared" si="21"/>
        <v>9.9919435038205426E-2</v>
      </c>
      <c r="V11" s="41">
        <f t="shared" ref="V11:W14" si="22">SUM(D11/(1-$Y$1))</f>
        <v>63.48</v>
      </c>
      <c r="W11" s="41">
        <f t="shared" si="22"/>
        <v>85.88</v>
      </c>
      <c r="Y11" s="41">
        <f>ROUND(D11/(1-$Y$1)*1.2,2)</f>
        <v>76.180000000000007</v>
      </c>
      <c r="Z11" s="41">
        <f>ROUND(E11/(1-$Y$1)*1.2,2)</f>
        <v>103.06</v>
      </c>
      <c r="AB11" s="182">
        <f t="shared" ref="AB11:AC14" si="23">ROUNDDOWN(D11/(1-$Y$1)*1.2,1)</f>
        <v>76.099999999999994</v>
      </c>
      <c r="AC11" s="182">
        <f t="shared" si="23"/>
        <v>103</v>
      </c>
      <c r="AE11" s="40">
        <f t="shared" ref="AE11:AF14" si="24">AB11/1.2</f>
        <v>63.416666666666664</v>
      </c>
      <c r="AF11" s="40">
        <f t="shared" si="24"/>
        <v>85.833333333333343</v>
      </c>
      <c r="AH11" s="40">
        <f t="shared" ref="AH11:AI14" si="25">Y11-AB11</f>
        <v>8.0000000000012506E-2</v>
      </c>
      <c r="AI11" s="40">
        <f t="shared" si="25"/>
        <v>6.0000000000002274E-2</v>
      </c>
      <c r="AK11" s="130">
        <f t="shared" ref="AK11:AL14" si="26">ROUND(M11*(1-(1/(1+$AL$1))),2)</f>
        <v>3.76</v>
      </c>
      <c r="AL11" s="130">
        <f t="shared" si="26"/>
        <v>5.08</v>
      </c>
      <c r="AM11" s="40"/>
      <c r="AN11" s="40">
        <f t="shared" ref="AN11:AN14" si="27">SUM(V11-G11)-AH11</f>
        <v>25.819839999999985</v>
      </c>
      <c r="AO11" s="40">
        <f t="shared" ref="AO11:AO14" si="28">SUM(W11-H11)-AI11</f>
        <v>34.979039999999998</v>
      </c>
      <c r="AP11" s="40"/>
      <c r="AQ11" s="144">
        <f t="shared" ref="AQ11:AR14" si="29">(SUM(G11-D11)/D11*$Y$1)</f>
        <v>9.2000000000000012E-2</v>
      </c>
      <c r="AR11" s="144">
        <f t="shared" si="29"/>
        <v>9.1999999999999985E-2</v>
      </c>
      <c r="AS11" s="40"/>
      <c r="AT11" s="146">
        <f t="shared" ref="AT11:AU14" si="30">AN11/V11</f>
        <v>0.40673976055450511</v>
      </c>
      <c r="AU11" s="146">
        <f t="shared" si="30"/>
        <v>0.40730135072193757</v>
      </c>
      <c r="AV11" s="40"/>
      <c r="AW11" s="76">
        <f t="shared" ref="AW11:AX14" si="31">D11/V11</f>
        <v>0.5</v>
      </c>
      <c r="AX11" s="76">
        <f t="shared" si="31"/>
        <v>0.5</v>
      </c>
      <c r="AY11" s="42"/>
      <c r="AZ11" s="42">
        <f t="shared" ref="AZ11:BA14" si="32">J11+AN11</f>
        <v>31.659999999999986</v>
      </c>
      <c r="BA11" s="42">
        <f t="shared" si="32"/>
        <v>42.879999999999995</v>
      </c>
      <c r="BB11" s="42"/>
      <c r="BC11" s="76">
        <f t="shared" ref="BC11:BD14" si="33">AZ11/(D11/$Y$1)</f>
        <v>0.49873976055450514</v>
      </c>
      <c r="BD11" s="76">
        <f t="shared" si="33"/>
        <v>0.49930135072193754</v>
      </c>
      <c r="BE11" s="42"/>
    </row>
    <row r="12" spans="1:57" x14ac:dyDescent="0.25">
      <c r="A12" t="s">
        <v>134</v>
      </c>
      <c r="D12" s="162">
        <f>D11*1.5</f>
        <v>47.61</v>
      </c>
      <c r="E12" s="162">
        <f>E11*1.5</f>
        <v>64.41</v>
      </c>
      <c r="F12" s="81"/>
      <c r="G12" s="153">
        <f t="shared" si="18"/>
        <v>56.370239999999995</v>
      </c>
      <c r="H12" s="153">
        <f t="shared" si="18"/>
        <v>76.261439999999993</v>
      </c>
      <c r="J12" s="155">
        <f t="shared" si="19"/>
        <v>8.760239999999996</v>
      </c>
      <c r="K12" s="155">
        <f t="shared" si="19"/>
        <v>11.851439999999997</v>
      </c>
      <c r="M12" s="134">
        <f>ROUND(D12*(1+$G$1*2),2)*SUM(1+$M$1)</f>
        <v>62.007000000000005</v>
      </c>
      <c r="N12" s="134">
        <f t="shared" ref="M12:N14" si="34">ROUND(E12*(1+$G$1*2),2)*SUM(1+$M$1)</f>
        <v>83.88600000000001</v>
      </c>
      <c r="P12" s="134">
        <f t="shared" si="20"/>
        <v>14.397000000000006</v>
      </c>
      <c r="Q12" s="134">
        <f t="shared" si="20"/>
        <v>19.476000000000013</v>
      </c>
      <c r="S12" s="141">
        <f t="shared" si="21"/>
        <v>0.10005279381460856</v>
      </c>
      <c r="T12" s="141">
        <f t="shared" si="21"/>
        <v>0.10005056290570963</v>
      </c>
      <c r="V12" s="41">
        <f t="shared" si="22"/>
        <v>95.22</v>
      </c>
      <c r="W12" s="41">
        <f t="shared" si="22"/>
        <v>128.82</v>
      </c>
      <c r="Y12" s="41">
        <f t="shared" ref="Y12:Z14" si="35">ROUND(D12/(1-$Y$1)*1.2,2)</f>
        <v>114.26</v>
      </c>
      <c r="Z12" s="41">
        <f t="shared" si="35"/>
        <v>154.58000000000001</v>
      </c>
      <c r="AB12" s="182">
        <f t="shared" si="23"/>
        <v>114.2</v>
      </c>
      <c r="AC12" s="182">
        <f t="shared" si="23"/>
        <v>154.5</v>
      </c>
      <c r="AE12" s="40">
        <f t="shared" si="24"/>
        <v>95.166666666666671</v>
      </c>
      <c r="AF12" s="40">
        <f t="shared" si="24"/>
        <v>128.75</v>
      </c>
      <c r="AH12" s="40">
        <f t="shared" si="25"/>
        <v>6.0000000000002274E-2</v>
      </c>
      <c r="AI12" s="40">
        <f t="shared" si="25"/>
        <v>8.0000000000012506E-2</v>
      </c>
      <c r="AK12" s="130">
        <f t="shared" si="26"/>
        <v>5.64</v>
      </c>
      <c r="AL12" s="130">
        <f t="shared" si="26"/>
        <v>7.63</v>
      </c>
      <c r="AM12" s="40"/>
      <c r="AN12" s="40">
        <f t="shared" si="27"/>
        <v>38.789760000000001</v>
      </c>
      <c r="AO12" s="40">
        <f t="shared" si="28"/>
        <v>52.478559999999987</v>
      </c>
      <c r="AP12" s="40"/>
      <c r="AQ12" s="144">
        <f t="shared" si="29"/>
        <v>9.1999999999999957E-2</v>
      </c>
      <c r="AR12" s="144">
        <f t="shared" si="29"/>
        <v>9.1999999999999985E-2</v>
      </c>
      <c r="AS12" s="40"/>
      <c r="AT12" s="146">
        <f t="shared" si="30"/>
        <v>0.40736988027725268</v>
      </c>
      <c r="AU12" s="146">
        <f t="shared" si="30"/>
        <v>0.40737897841949999</v>
      </c>
      <c r="AV12" s="40"/>
      <c r="AW12" s="76">
        <f t="shared" si="31"/>
        <v>0.5</v>
      </c>
      <c r="AX12" s="76">
        <f t="shared" si="31"/>
        <v>0.5</v>
      </c>
      <c r="AY12" s="42"/>
      <c r="AZ12" s="42">
        <f t="shared" si="32"/>
        <v>47.55</v>
      </c>
      <c r="BA12" s="42">
        <f t="shared" si="32"/>
        <v>64.329999999999984</v>
      </c>
      <c r="BB12" s="42"/>
      <c r="BC12" s="76">
        <f t="shared" si="33"/>
        <v>0.49936988027725265</v>
      </c>
      <c r="BD12" s="76">
        <f t="shared" si="33"/>
        <v>0.49937897841949996</v>
      </c>
      <c r="BE12" s="42"/>
    </row>
    <row r="13" spans="1:57" x14ac:dyDescent="0.25">
      <c r="A13" t="s">
        <v>135</v>
      </c>
      <c r="D13" s="162">
        <v>53.25</v>
      </c>
      <c r="E13" s="162">
        <v>73.739999999999995</v>
      </c>
      <c r="F13" s="81"/>
      <c r="G13" s="153">
        <f t="shared" si="18"/>
        <v>63.047999999999995</v>
      </c>
      <c r="H13" s="153">
        <f t="shared" si="18"/>
        <v>87.308159999999987</v>
      </c>
      <c r="J13" s="155">
        <f t="shared" si="19"/>
        <v>9.7979999999999947</v>
      </c>
      <c r="K13" s="155">
        <f t="shared" si="19"/>
        <v>13.568159999999992</v>
      </c>
      <c r="M13" s="134">
        <f t="shared" si="34"/>
        <v>69.355000000000004</v>
      </c>
      <c r="N13" s="134">
        <f t="shared" si="34"/>
        <v>96.041000000000011</v>
      </c>
      <c r="P13" s="134">
        <f t="shared" si="20"/>
        <v>16.105000000000004</v>
      </c>
      <c r="Q13" s="134">
        <f t="shared" si="20"/>
        <v>22.301000000000016</v>
      </c>
      <c r="S13" s="141">
        <f t="shared" si="21"/>
        <v>0.10008247684304022</v>
      </c>
      <c r="T13" s="141">
        <f t="shared" si="21"/>
        <v>9.9990653794559431E-2</v>
      </c>
      <c r="V13" s="41">
        <f t="shared" si="22"/>
        <v>106.5</v>
      </c>
      <c r="W13" s="41">
        <f t="shared" si="22"/>
        <v>147.47999999999999</v>
      </c>
      <c r="Y13" s="41">
        <f t="shared" si="35"/>
        <v>127.8</v>
      </c>
      <c r="Z13" s="41">
        <f t="shared" si="35"/>
        <v>176.98</v>
      </c>
      <c r="AB13" s="182">
        <f t="shared" si="23"/>
        <v>127.8</v>
      </c>
      <c r="AC13" s="182">
        <f t="shared" si="23"/>
        <v>176.9</v>
      </c>
      <c r="AE13" s="40">
        <f t="shared" si="24"/>
        <v>106.5</v>
      </c>
      <c r="AF13" s="40">
        <f t="shared" si="24"/>
        <v>147.41666666666669</v>
      </c>
      <c r="AH13" s="40">
        <f t="shared" si="25"/>
        <v>0</v>
      </c>
      <c r="AI13" s="40">
        <f t="shared" si="25"/>
        <v>7.9999999999984084E-2</v>
      </c>
      <c r="AK13" s="130">
        <f t="shared" si="26"/>
        <v>6.31</v>
      </c>
      <c r="AL13" s="130">
        <f t="shared" si="26"/>
        <v>8.73</v>
      </c>
      <c r="AM13" s="40"/>
      <c r="AN13" s="40">
        <f t="shared" si="27"/>
        <v>43.452000000000005</v>
      </c>
      <c r="AO13" s="40">
        <f t="shared" si="28"/>
        <v>60.091840000000019</v>
      </c>
      <c r="AP13" s="40"/>
      <c r="AQ13" s="144">
        <f t="shared" si="29"/>
        <v>9.1999999999999957E-2</v>
      </c>
      <c r="AR13" s="144">
        <f t="shared" si="29"/>
        <v>9.1999999999999957E-2</v>
      </c>
      <c r="AS13" s="40"/>
      <c r="AT13" s="146">
        <f t="shared" si="30"/>
        <v>0.40800000000000003</v>
      </c>
      <c r="AU13" s="146">
        <f t="shared" si="30"/>
        <v>0.40745755356658547</v>
      </c>
      <c r="AV13" s="40"/>
      <c r="AW13" s="76">
        <f t="shared" si="31"/>
        <v>0.5</v>
      </c>
      <c r="AX13" s="76">
        <f t="shared" si="31"/>
        <v>0.5</v>
      </c>
      <c r="AY13" s="42"/>
      <c r="AZ13" s="42">
        <f t="shared" si="32"/>
        <v>53.25</v>
      </c>
      <c r="BA13" s="42">
        <f t="shared" si="32"/>
        <v>73.660000000000011</v>
      </c>
      <c r="BB13" s="42"/>
      <c r="BC13" s="76">
        <f t="shared" si="33"/>
        <v>0.5</v>
      </c>
      <c r="BD13" s="76">
        <f t="shared" si="33"/>
        <v>0.49945755356658539</v>
      </c>
      <c r="BE13" s="42"/>
    </row>
    <row r="14" spans="1:57" x14ac:dyDescent="0.25">
      <c r="A14" t="s">
        <v>136</v>
      </c>
      <c r="D14" s="162">
        <v>55.51</v>
      </c>
      <c r="E14" s="162">
        <v>76.03</v>
      </c>
      <c r="F14" s="81"/>
      <c r="G14" s="153">
        <f t="shared" si="18"/>
        <v>65.723839999999996</v>
      </c>
      <c r="H14" s="153">
        <f t="shared" si="18"/>
        <v>90.01952</v>
      </c>
      <c r="J14" s="155">
        <f t="shared" si="19"/>
        <v>10.213839999999998</v>
      </c>
      <c r="K14" s="155">
        <f t="shared" si="19"/>
        <v>13.989519999999999</v>
      </c>
      <c r="M14" s="134">
        <f t="shared" si="34"/>
        <v>72.292000000000002</v>
      </c>
      <c r="N14" s="134">
        <f t="shared" si="34"/>
        <v>99.022000000000006</v>
      </c>
      <c r="P14" s="134">
        <f t="shared" si="20"/>
        <v>16.782000000000004</v>
      </c>
      <c r="Q14" s="134">
        <f t="shared" si="20"/>
        <v>22.992000000000004</v>
      </c>
      <c r="S14" s="141">
        <f t="shared" si="21"/>
        <v>9.9963727012907358E-2</v>
      </c>
      <c r="T14" s="141">
        <f t="shared" si="21"/>
        <v>9.9978315814170077E-2</v>
      </c>
      <c r="V14" s="41">
        <f t="shared" si="22"/>
        <v>111.02</v>
      </c>
      <c r="W14" s="41">
        <f t="shared" si="22"/>
        <v>152.06</v>
      </c>
      <c r="Y14" s="41">
        <f t="shared" si="35"/>
        <v>133.22</v>
      </c>
      <c r="Z14" s="41">
        <f t="shared" si="35"/>
        <v>182.47</v>
      </c>
      <c r="AB14" s="182">
        <f t="shared" si="23"/>
        <v>133.19999999999999</v>
      </c>
      <c r="AC14" s="182">
        <f t="shared" si="23"/>
        <v>182.4</v>
      </c>
      <c r="AE14" s="40">
        <f t="shared" si="24"/>
        <v>111</v>
      </c>
      <c r="AF14" s="40">
        <f t="shared" si="24"/>
        <v>152</v>
      </c>
      <c r="AH14" s="40">
        <f t="shared" si="25"/>
        <v>2.0000000000010232E-2</v>
      </c>
      <c r="AI14" s="40">
        <f t="shared" si="25"/>
        <v>6.9999999999993179E-2</v>
      </c>
      <c r="AK14" s="130">
        <f t="shared" si="26"/>
        <v>6.57</v>
      </c>
      <c r="AL14" s="130">
        <f t="shared" si="26"/>
        <v>9</v>
      </c>
      <c r="AM14" s="40"/>
      <c r="AN14" s="40">
        <f t="shared" si="27"/>
        <v>45.27615999999999</v>
      </c>
      <c r="AO14" s="40">
        <f t="shared" si="28"/>
        <v>61.970480000000009</v>
      </c>
      <c r="AP14" s="40"/>
      <c r="AQ14" s="144">
        <f t="shared" si="29"/>
        <v>9.1999999999999985E-2</v>
      </c>
      <c r="AR14" s="144">
        <f t="shared" si="29"/>
        <v>9.1999999999999985E-2</v>
      </c>
      <c r="AS14" s="40"/>
      <c r="AT14" s="146">
        <f t="shared" si="30"/>
        <v>0.40781985227886858</v>
      </c>
      <c r="AU14" s="146">
        <f t="shared" si="30"/>
        <v>0.40753965539918457</v>
      </c>
      <c r="AV14" s="40"/>
      <c r="AW14" s="76">
        <f t="shared" si="31"/>
        <v>0.5</v>
      </c>
      <c r="AX14" s="76">
        <f t="shared" si="31"/>
        <v>0.5</v>
      </c>
      <c r="AY14" s="42"/>
      <c r="AZ14" s="42">
        <f t="shared" si="32"/>
        <v>55.489999999999988</v>
      </c>
      <c r="BA14" s="42">
        <f t="shared" si="32"/>
        <v>75.960000000000008</v>
      </c>
      <c r="BB14" s="42"/>
      <c r="BC14" s="76">
        <f t="shared" si="33"/>
        <v>0.4998198522788686</v>
      </c>
      <c r="BD14" s="76">
        <f t="shared" si="33"/>
        <v>0.4995396553991846</v>
      </c>
      <c r="BE14" s="42"/>
    </row>
    <row r="15" spans="1:57" x14ac:dyDescent="0.25">
      <c r="A15"/>
      <c r="D15" s="150"/>
      <c r="E15" s="150"/>
      <c r="F15" s="41"/>
      <c r="G15" s="153"/>
      <c r="H15" s="153"/>
      <c r="J15" s="154"/>
      <c r="K15" s="154"/>
      <c r="M15" s="134"/>
      <c r="N15" s="134"/>
      <c r="P15" s="134"/>
      <c r="Q15" s="134"/>
      <c r="S15" s="140"/>
      <c r="T15" s="140"/>
      <c r="V15" s="40"/>
      <c r="W15" s="40"/>
      <c r="Y15" s="41"/>
      <c r="Z15" s="41"/>
      <c r="AK15" s="130"/>
      <c r="AL15" s="130"/>
      <c r="AM15" s="40"/>
      <c r="AN15" s="40"/>
      <c r="AO15" s="40"/>
      <c r="AP15" s="40"/>
      <c r="AQ15" s="145"/>
      <c r="AR15" s="145"/>
      <c r="AS15" s="40"/>
      <c r="AT15" s="146"/>
      <c r="AU15" s="146"/>
      <c r="AV15" s="40"/>
      <c r="AW15" s="76"/>
      <c r="AX15" s="76"/>
      <c r="AY15" s="42"/>
      <c r="AZ15" s="42"/>
      <c r="BA15" s="42"/>
      <c r="BB15" s="42"/>
      <c r="BC15" s="76"/>
      <c r="BD15" s="76"/>
      <c r="BE15" s="42"/>
    </row>
    <row r="16" spans="1:57" x14ac:dyDescent="0.25">
      <c r="A16" s="167" t="s">
        <v>138</v>
      </c>
      <c r="B16" s="4"/>
      <c r="D16" s="149"/>
      <c r="E16" s="149"/>
      <c r="F16" s="41"/>
      <c r="G16" s="153"/>
      <c r="H16" s="153"/>
      <c r="J16" s="154"/>
      <c r="K16" s="154"/>
      <c r="M16" s="134"/>
      <c r="N16" s="134"/>
      <c r="P16" s="134"/>
      <c r="Q16" s="134"/>
      <c r="S16" s="140"/>
      <c r="T16" s="140"/>
      <c r="V16" s="40"/>
      <c r="W16" s="40"/>
      <c r="Y16" s="41"/>
      <c r="Z16" s="41"/>
      <c r="AK16" s="130"/>
      <c r="AL16" s="130"/>
      <c r="AM16" s="40"/>
      <c r="AN16" s="40"/>
      <c r="AO16" s="40"/>
      <c r="AP16" s="40"/>
      <c r="AQ16" s="145"/>
      <c r="AR16" s="145"/>
      <c r="AS16" s="40"/>
      <c r="AT16" s="146"/>
      <c r="AU16" s="146"/>
      <c r="AV16" s="40"/>
      <c r="AW16" s="76"/>
      <c r="AX16" s="76"/>
      <c r="AY16" s="42"/>
      <c r="AZ16" s="42"/>
      <c r="BA16" s="42"/>
      <c r="BB16" s="42"/>
      <c r="BC16" s="76"/>
      <c r="BD16" s="76"/>
      <c r="BE16" s="42"/>
    </row>
    <row r="17" spans="1:57" x14ac:dyDescent="0.25">
      <c r="A17" t="s">
        <v>133</v>
      </c>
      <c r="D17" s="162">
        <v>71.540000000000006</v>
      </c>
      <c r="E17" s="162">
        <v>102.28</v>
      </c>
      <c r="F17" s="81"/>
      <c r="G17" s="153">
        <f t="shared" ref="G17:H20" si="36">D17*SUM(1+$G$1/$Y$1)</f>
        <v>84.703360000000004</v>
      </c>
      <c r="H17" s="153">
        <f t="shared" si="36"/>
        <v>121.09952</v>
      </c>
      <c r="I17" s="83"/>
      <c r="J17" s="155">
        <f t="shared" ref="J17:K20" si="37">G17-D17</f>
        <v>13.163359999999997</v>
      </c>
      <c r="K17" s="155">
        <f t="shared" si="37"/>
        <v>18.819519999999997</v>
      </c>
      <c r="L17" s="83"/>
      <c r="M17" s="134">
        <f>ROUND(D17*(1+$G$1*2),2)*SUM(1+$M$1)</f>
        <v>93.170000000000016</v>
      </c>
      <c r="N17" s="134">
        <f>ROUND(E17*(1+$G$1*2),2)*SUM(1+$M$1)</f>
        <v>133.21</v>
      </c>
      <c r="P17" s="134">
        <f t="shared" ref="P17:Q20" si="38">M17-D17</f>
        <v>21.63000000000001</v>
      </c>
      <c r="Q17" s="134">
        <f t="shared" si="38"/>
        <v>30.930000000000007</v>
      </c>
      <c r="S17" s="141">
        <f t="shared" ref="S17:T20" si="39">AK17/G17</f>
        <v>9.9996033215211305E-2</v>
      </c>
      <c r="T17" s="141">
        <f t="shared" si="39"/>
        <v>0.1000003963682102</v>
      </c>
      <c r="V17" s="41">
        <f t="shared" ref="V17:W20" si="40">SUM(D17/(1-$Y$1))</f>
        <v>143.08000000000001</v>
      </c>
      <c r="W17" s="41">
        <f t="shared" si="40"/>
        <v>204.56</v>
      </c>
      <c r="Y17" s="41">
        <f>ROUND(D17/(1-$Y$1)*1.2,2)</f>
        <v>171.7</v>
      </c>
      <c r="Z17" s="41">
        <f>ROUND(E17/(1-$Y$1)*1.2,2)</f>
        <v>245.47</v>
      </c>
      <c r="AB17" s="182">
        <f t="shared" ref="AB17:AC20" si="41">ROUNDDOWN(D17/(1-$Y$1)*1.2,1)</f>
        <v>171.6</v>
      </c>
      <c r="AC17" s="182">
        <f t="shared" si="41"/>
        <v>245.4</v>
      </c>
      <c r="AE17" s="40">
        <f t="shared" ref="AE17:AF20" si="42">AB17/1.2</f>
        <v>143</v>
      </c>
      <c r="AF17" s="40">
        <f t="shared" si="42"/>
        <v>204.5</v>
      </c>
      <c r="AH17" s="40">
        <f t="shared" ref="AH17:AI20" si="43">Y17-AB17</f>
        <v>9.9999999999994316E-2</v>
      </c>
      <c r="AI17" s="40">
        <f t="shared" si="43"/>
        <v>6.9999999999993179E-2</v>
      </c>
      <c r="AK17" s="130">
        <f t="shared" ref="AK17:AL20" si="44">ROUND(M17*(1-(1/(1+$AL$1))),2)</f>
        <v>8.4700000000000006</v>
      </c>
      <c r="AL17" s="130">
        <f t="shared" si="44"/>
        <v>12.11</v>
      </c>
      <c r="AM17" s="40"/>
      <c r="AN17" s="40">
        <f t="shared" ref="AN17:AN20" si="45">SUM(V17-G17)-AH17</f>
        <v>58.276640000000015</v>
      </c>
      <c r="AO17" s="40">
        <f t="shared" ref="AO17:AO20" si="46">SUM(W17-H17)-AI17</f>
        <v>83.390480000000011</v>
      </c>
      <c r="AP17" s="40"/>
      <c r="AQ17" s="144">
        <f t="shared" ref="AQ17:AR20" si="47">(SUM(G17-D17)/D17*$Y$1)</f>
        <v>9.1999999999999971E-2</v>
      </c>
      <c r="AR17" s="144">
        <f t="shared" si="47"/>
        <v>9.1999999999999985E-2</v>
      </c>
      <c r="AS17" s="40"/>
      <c r="AT17" s="146">
        <f t="shared" ref="AT17:AU20" si="48">AN17/V17</f>
        <v>0.40730109029913342</v>
      </c>
      <c r="AU17" s="146">
        <f t="shared" si="48"/>
        <v>0.40765780211184988</v>
      </c>
      <c r="AV17" s="40"/>
      <c r="AW17" s="76">
        <f t="shared" ref="AW17:AX20" si="49">D17/V17</f>
        <v>0.5</v>
      </c>
      <c r="AX17" s="76">
        <f t="shared" si="49"/>
        <v>0.5</v>
      </c>
      <c r="AY17" s="42"/>
      <c r="AZ17" s="42">
        <f t="shared" ref="AZ17:BA20" si="50">J17+AN17</f>
        <v>71.440000000000012</v>
      </c>
      <c r="BA17" s="42">
        <f t="shared" si="50"/>
        <v>102.21000000000001</v>
      </c>
      <c r="BB17" s="42"/>
      <c r="BC17" s="76">
        <f t="shared" ref="BC17:BD20" si="51">AZ17/(D17/$Y$1)</f>
        <v>0.49930109029913339</v>
      </c>
      <c r="BD17" s="76">
        <f t="shared" si="51"/>
        <v>0.49965780211184985</v>
      </c>
      <c r="BE17" s="42"/>
    </row>
    <row r="18" spans="1:57" x14ac:dyDescent="0.25">
      <c r="A18" t="s">
        <v>134</v>
      </c>
      <c r="D18" s="162">
        <f>D17*1.5</f>
        <v>107.31</v>
      </c>
      <c r="E18" s="162">
        <f>E17*1.5</f>
        <v>153.42000000000002</v>
      </c>
      <c r="F18" s="81"/>
      <c r="G18" s="153">
        <f t="shared" si="36"/>
        <v>127.05503999999999</v>
      </c>
      <c r="H18" s="153">
        <f t="shared" si="36"/>
        <v>181.64928</v>
      </c>
      <c r="I18" s="83"/>
      <c r="J18" s="155">
        <f t="shared" si="37"/>
        <v>19.745039999999989</v>
      </c>
      <c r="K18" s="155">
        <f t="shared" si="37"/>
        <v>28.229279999999989</v>
      </c>
      <c r="L18" s="83"/>
      <c r="M18" s="134">
        <f t="shared" ref="M18:N20" si="52">ROUND(D18*(1+$G$1*2),2)*SUM(1+$M$1)</f>
        <v>139.76600000000002</v>
      </c>
      <c r="N18" s="134">
        <f t="shared" si="52"/>
        <v>199.81500000000003</v>
      </c>
      <c r="P18" s="134">
        <f t="shared" si="38"/>
        <v>32.456000000000017</v>
      </c>
      <c r="Q18" s="134">
        <f t="shared" si="38"/>
        <v>46.39500000000001</v>
      </c>
      <c r="S18" s="141">
        <f t="shared" si="39"/>
        <v>0.10003538623890876</v>
      </c>
      <c r="T18" s="141">
        <f t="shared" si="39"/>
        <v>0.10002792193836386</v>
      </c>
      <c r="V18" s="41">
        <f t="shared" si="40"/>
        <v>214.62</v>
      </c>
      <c r="W18" s="41">
        <f t="shared" si="40"/>
        <v>306.84000000000003</v>
      </c>
      <c r="Y18" s="41">
        <f t="shared" ref="Y18:Z20" si="53">ROUND(D18/(1-$Y$1)*1.2,2)</f>
        <v>257.54000000000002</v>
      </c>
      <c r="Z18" s="41">
        <f t="shared" si="53"/>
        <v>368.21</v>
      </c>
      <c r="AB18" s="182">
        <f t="shared" si="41"/>
        <v>257.5</v>
      </c>
      <c r="AC18" s="182">
        <f t="shared" si="41"/>
        <v>368.2</v>
      </c>
      <c r="AE18" s="40">
        <f t="shared" si="42"/>
        <v>214.58333333333334</v>
      </c>
      <c r="AF18" s="40">
        <f t="shared" si="42"/>
        <v>306.83333333333331</v>
      </c>
      <c r="AH18" s="40">
        <f t="shared" si="43"/>
        <v>4.0000000000020464E-2</v>
      </c>
      <c r="AI18" s="40">
        <f t="shared" si="43"/>
        <v>9.9999999999909051E-3</v>
      </c>
      <c r="AK18" s="130">
        <f t="shared" si="44"/>
        <v>12.71</v>
      </c>
      <c r="AL18" s="130">
        <f t="shared" si="44"/>
        <v>18.170000000000002</v>
      </c>
      <c r="AM18" s="40"/>
      <c r="AN18" s="40">
        <f t="shared" si="45"/>
        <v>87.524959999999993</v>
      </c>
      <c r="AO18" s="40">
        <f t="shared" si="46"/>
        <v>125.18072000000004</v>
      </c>
      <c r="AP18" s="40"/>
      <c r="AQ18" s="144">
        <f t="shared" si="47"/>
        <v>9.1999999999999943E-2</v>
      </c>
      <c r="AR18" s="144">
        <f t="shared" si="47"/>
        <v>9.1999999999999957E-2</v>
      </c>
      <c r="AS18" s="40"/>
      <c r="AT18" s="146">
        <f t="shared" si="48"/>
        <v>0.40781362407976884</v>
      </c>
      <c r="AU18" s="146">
        <f t="shared" si="48"/>
        <v>0.40796740972493817</v>
      </c>
      <c r="AV18" s="40"/>
      <c r="AW18" s="76">
        <f t="shared" si="49"/>
        <v>0.5</v>
      </c>
      <c r="AX18" s="76">
        <f t="shared" si="49"/>
        <v>0.5</v>
      </c>
      <c r="AY18" s="42"/>
      <c r="AZ18" s="42">
        <f t="shared" si="50"/>
        <v>107.26999999999998</v>
      </c>
      <c r="BA18" s="42">
        <f t="shared" si="50"/>
        <v>153.41000000000003</v>
      </c>
      <c r="BB18" s="42"/>
      <c r="BC18" s="76">
        <f t="shared" si="51"/>
        <v>0.49981362407976881</v>
      </c>
      <c r="BD18" s="76">
        <f t="shared" si="51"/>
        <v>0.49996740972493808</v>
      </c>
      <c r="BE18" s="42"/>
    </row>
    <row r="19" spans="1:57" x14ac:dyDescent="0.25">
      <c r="A19" t="s">
        <v>135</v>
      </c>
      <c r="D19" s="162">
        <v>114.66</v>
      </c>
      <c r="E19" s="162">
        <v>166.99</v>
      </c>
      <c r="F19" s="81"/>
      <c r="G19" s="153">
        <f t="shared" si="36"/>
        <v>135.75744</v>
      </c>
      <c r="H19" s="153">
        <f t="shared" si="36"/>
        <v>197.71616</v>
      </c>
      <c r="J19" s="155">
        <f t="shared" si="37"/>
        <v>21.097440000000006</v>
      </c>
      <c r="K19" s="155">
        <f t="shared" si="37"/>
        <v>30.726159999999993</v>
      </c>
      <c r="M19" s="134">
        <f t="shared" si="52"/>
        <v>149.33600000000001</v>
      </c>
      <c r="N19" s="134">
        <f t="shared" si="52"/>
        <v>217.49200000000002</v>
      </c>
      <c r="P19" s="134">
        <f t="shared" si="38"/>
        <v>34.676000000000016</v>
      </c>
      <c r="Q19" s="134">
        <f t="shared" si="38"/>
        <v>50.50200000000001</v>
      </c>
      <c r="S19" s="141">
        <f t="shared" si="39"/>
        <v>0.10003135003135002</v>
      </c>
      <c r="T19" s="141">
        <f t="shared" si="39"/>
        <v>9.9991826667076678E-2</v>
      </c>
      <c r="V19" s="41">
        <f t="shared" si="40"/>
        <v>229.32</v>
      </c>
      <c r="W19" s="41">
        <f t="shared" si="40"/>
        <v>333.98</v>
      </c>
      <c r="Y19" s="41">
        <f t="shared" si="53"/>
        <v>275.18</v>
      </c>
      <c r="Z19" s="41">
        <f t="shared" si="53"/>
        <v>400.78</v>
      </c>
      <c r="AB19" s="182">
        <f t="shared" si="41"/>
        <v>275.10000000000002</v>
      </c>
      <c r="AC19" s="182">
        <f t="shared" si="41"/>
        <v>400.7</v>
      </c>
      <c r="AE19" s="40">
        <f t="shared" si="42"/>
        <v>229.25000000000003</v>
      </c>
      <c r="AF19" s="40">
        <f t="shared" si="42"/>
        <v>333.91666666666669</v>
      </c>
      <c r="AH19" s="40">
        <f t="shared" si="43"/>
        <v>7.9999999999984084E-2</v>
      </c>
      <c r="AI19" s="40">
        <f t="shared" si="43"/>
        <v>7.9999999999984084E-2</v>
      </c>
      <c r="AK19" s="130">
        <f t="shared" si="44"/>
        <v>13.58</v>
      </c>
      <c r="AL19" s="130">
        <f t="shared" si="44"/>
        <v>19.77</v>
      </c>
      <c r="AM19" s="40"/>
      <c r="AN19" s="40">
        <f t="shared" si="45"/>
        <v>93.482560000000007</v>
      </c>
      <c r="AO19" s="40">
        <f t="shared" si="46"/>
        <v>136.18384000000003</v>
      </c>
      <c r="AP19" s="40"/>
      <c r="AQ19" s="144">
        <f t="shared" si="47"/>
        <v>9.2000000000000026E-2</v>
      </c>
      <c r="AR19" s="144">
        <f t="shared" si="47"/>
        <v>9.1999999999999971E-2</v>
      </c>
      <c r="AS19" s="40"/>
      <c r="AT19" s="146">
        <f t="shared" si="48"/>
        <v>0.40765114250828538</v>
      </c>
      <c r="AU19" s="146">
        <f t="shared" si="48"/>
        <v>0.40776046469848504</v>
      </c>
      <c r="AV19" s="40"/>
      <c r="AW19" s="76">
        <f t="shared" si="49"/>
        <v>0.5</v>
      </c>
      <c r="AX19" s="76">
        <f t="shared" si="49"/>
        <v>0.5</v>
      </c>
      <c r="AY19" s="42"/>
      <c r="AZ19" s="42">
        <f t="shared" si="50"/>
        <v>114.58000000000001</v>
      </c>
      <c r="BA19" s="42">
        <f t="shared" si="50"/>
        <v>166.91000000000003</v>
      </c>
      <c r="BB19" s="42"/>
      <c r="BC19" s="76">
        <f t="shared" si="51"/>
        <v>0.49965114250828546</v>
      </c>
      <c r="BD19" s="76">
        <f t="shared" si="51"/>
        <v>0.49976046469848501</v>
      </c>
      <c r="BE19" s="42"/>
    </row>
    <row r="20" spans="1:57" x14ac:dyDescent="0.25">
      <c r="A20" t="s">
        <v>136</v>
      </c>
      <c r="D20" s="162">
        <v>124.47</v>
      </c>
      <c r="E20" s="162">
        <v>179.06</v>
      </c>
      <c r="F20" s="81"/>
      <c r="G20" s="153">
        <f t="shared" si="36"/>
        <v>147.37248</v>
      </c>
      <c r="H20" s="153">
        <f t="shared" si="36"/>
        <v>212.00703999999999</v>
      </c>
      <c r="J20" s="155">
        <f t="shared" si="37"/>
        <v>22.902479999999997</v>
      </c>
      <c r="K20" s="155">
        <f t="shared" si="37"/>
        <v>32.947039999999987</v>
      </c>
      <c r="M20" s="134">
        <f t="shared" si="52"/>
        <v>162.10700000000003</v>
      </c>
      <c r="N20" s="134">
        <f t="shared" si="52"/>
        <v>233.21100000000001</v>
      </c>
      <c r="P20" s="134">
        <f t="shared" si="38"/>
        <v>37.637000000000029</v>
      </c>
      <c r="Q20" s="134">
        <f t="shared" si="38"/>
        <v>54.15100000000001</v>
      </c>
      <c r="S20" s="141">
        <f t="shared" si="39"/>
        <v>0.10001867377138528</v>
      </c>
      <c r="T20" s="141">
        <f t="shared" si="39"/>
        <v>9.9996679355553481E-2</v>
      </c>
      <c r="V20" s="41">
        <f t="shared" si="40"/>
        <v>248.94</v>
      </c>
      <c r="W20" s="41">
        <f t="shared" si="40"/>
        <v>358.12</v>
      </c>
      <c r="Y20" s="41">
        <f t="shared" si="53"/>
        <v>298.73</v>
      </c>
      <c r="Z20" s="41">
        <f t="shared" si="53"/>
        <v>429.74</v>
      </c>
      <c r="AB20" s="182">
        <f t="shared" si="41"/>
        <v>298.7</v>
      </c>
      <c r="AC20" s="182">
        <f t="shared" si="41"/>
        <v>429.7</v>
      </c>
      <c r="AE20" s="40">
        <f t="shared" si="42"/>
        <v>248.91666666666666</v>
      </c>
      <c r="AF20" s="40">
        <f t="shared" si="42"/>
        <v>358.08333333333331</v>
      </c>
      <c r="AH20" s="40">
        <f t="shared" si="43"/>
        <v>3.0000000000029559E-2</v>
      </c>
      <c r="AI20" s="40">
        <f t="shared" si="43"/>
        <v>4.0000000000020464E-2</v>
      </c>
      <c r="AK20" s="130">
        <f t="shared" si="44"/>
        <v>14.74</v>
      </c>
      <c r="AL20" s="130">
        <f t="shared" si="44"/>
        <v>21.2</v>
      </c>
      <c r="AM20" s="40"/>
      <c r="AN20" s="40">
        <f t="shared" si="45"/>
        <v>101.53751999999997</v>
      </c>
      <c r="AO20" s="40">
        <f t="shared" si="46"/>
        <v>146.07295999999999</v>
      </c>
      <c r="AP20" s="40"/>
      <c r="AQ20" s="144">
        <f t="shared" si="47"/>
        <v>9.1999999999999985E-2</v>
      </c>
      <c r="AR20" s="144">
        <f t="shared" si="47"/>
        <v>9.1999999999999957E-2</v>
      </c>
      <c r="AS20" s="40"/>
      <c r="AT20" s="146">
        <f t="shared" si="48"/>
        <v>0.40787948903350196</v>
      </c>
      <c r="AU20" s="146">
        <f t="shared" si="48"/>
        <v>0.40788830559588962</v>
      </c>
      <c r="AV20" s="40"/>
      <c r="AW20" s="76">
        <f t="shared" si="49"/>
        <v>0.5</v>
      </c>
      <c r="AX20" s="76">
        <f t="shared" si="49"/>
        <v>0.5</v>
      </c>
      <c r="AY20" s="42"/>
      <c r="AZ20" s="42">
        <f t="shared" si="50"/>
        <v>124.43999999999997</v>
      </c>
      <c r="BA20" s="42">
        <f t="shared" si="50"/>
        <v>179.01999999999998</v>
      </c>
      <c r="BB20" s="42"/>
      <c r="BC20" s="76">
        <f t="shared" si="51"/>
        <v>0.49987948903350193</v>
      </c>
      <c r="BD20" s="76">
        <f t="shared" si="51"/>
        <v>0.49988830559588959</v>
      </c>
      <c r="BE20" s="42"/>
    </row>
    <row r="21" spans="1:57" x14ac:dyDescent="0.25">
      <c r="C21" s="104"/>
      <c r="D21" s="104"/>
      <c r="H21" s="40"/>
      <c r="I21" s="75"/>
      <c r="J21" s="75"/>
      <c r="K21" s="75"/>
      <c r="L21" s="75"/>
      <c r="V21" s="40"/>
      <c r="X21" s="41"/>
      <c r="Y21" s="40"/>
      <c r="Z21" s="40"/>
      <c r="AK21" s="76"/>
      <c r="AL21" s="76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76"/>
      <c r="AX21" s="76"/>
      <c r="AY21" s="42"/>
      <c r="AZ21" s="42"/>
      <c r="BA21" s="42"/>
      <c r="BB21" s="42"/>
      <c r="BC21" s="76"/>
      <c r="BD21" s="76"/>
      <c r="BE21" s="40"/>
    </row>
    <row r="22" spans="1:57" x14ac:dyDescent="0.25">
      <c r="A22" s="4" t="s">
        <v>139</v>
      </c>
      <c r="X22" s="41"/>
      <c r="Y22" s="40"/>
      <c r="Z22" s="40"/>
      <c r="AK22" s="76"/>
      <c r="AL22" s="76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76"/>
      <c r="AX22" s="76"/>
      <c r="AY22" s="42"/>
      <c r="AZ22" s="42"/>
      <c r="BA22" s="42"/>
      <c r="BB22" s="42"/>
      <c r="BC22" s="76"/>
      <c r="BD22" s="76"/>
      <c r="BE22" s="40"/>
    </row>
    <row r="23" spans="1:57" x14ac:dyDescent="0.25">
      <c r="A23" s="53"/>
      <c r="X23" s="41"/>
      <c r="Y23" s="40"/>
      <c r="Z23" s="40"/>
      <c r="AK23" s="76"/>
      <c r="AL23" s="76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76"/>
      <c r="AX23" s="76"/>
      <c r="AY23" s="42"/>
      <c r="AZ23" s="42"/>
      <c r="BA23" s="42"/>
      <c r="BB23" s="42"/>
      <c r="BC23" s="76"/>
      <c r="BD23" s="76"/>
      <c r="BE23" s="40"/>
    </row>
    <row r="24" spans="1:57" x14ac:dyDescent="0.25">
      <c r="A24" s="100" t="s">
        <v>132</v>
      </c>
      <c r="B24" s="52" t="s">
        <v>140</v>
      </c>
      <c r="D24" s="55" t="s">
        <v>141</v>
      </c>
      <c r="E24" s="55"/>
      <c r="F24" s="55"/>
    </row>
    <row r="25" spans="1:57" x14ac:dyDescent="0.25">
      <c r="A25" s="100" t="s">
        <v>137</v>
      </c>
      <c r="B25" s="52" t="s">
        <v>140</v>
      </c>
      <c r="F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</row>
    <row r="26" spans="1:57" x14ac:dyDescent="0.25">
      <c r="A26" s="100" t="s">
        <v>142</v>
      </c>
      <c r="B26" s="52" t="s">
        <v>140</v>
      </c>
      <c r="F26" s="40"/>
      <c r="G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</row>
    <row r="27" spans="1:57" x14ac:dyDescent="0.25">
      <c r="F27" s="40"/>
      <c r="G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</row>
    <row r="28" spans="1:57" ht="30" x14ac:dyDescent="0.25">
      <c r="A28" s="99" t="s">
        <v>143</v>
      </c>
      <c r="B28" s="52" t="s">
        <v>144</v>
      </c>
      <c r="F28" s="40"/>
      <c r="G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</row>
    <row r="29" spans="1:57" x14ac:dyDescent="0.25">
      <c r="G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</row>
    <row r="30" spans="1:57" ht="45" customHeight="1" x14ac:dyDescent="0.25">
      <c r="A30" s="159" t="s">
        <v>145</v>
      </c>
      <c r="B30" s="246" t="s">
        <v>146</v>
      </c>
      <c r="C30" s="246"/>
      <c r="D30" s="246"/>
      <c r="E30" s="246"/>
      <c r="F30" s="99"/>
      <c r="AA30" s="40"/>
      <c r="AB30" s="40"/>
      <c r="AC30" s="40"/>
      <c r="AD30" s="40"/>
      <c r="AE30" s="40"/>
      <c r="AF30" s="40"/>
      <c r="AG30" s="40"/>
      <c r="AH30" s="40"/>
      <c r="AI30" s="40"/>
      <c r="AJ30" s="40"/>
    </row>
    <row r="31" spans="1:57" ht="45" customHeight="1" x14ac:dyDescent="0.25">
      <c r="A31" s="159" t="s">
        <v>147</v>
      </c>
      <c r="B31" s="246" t="s">
        <v>148</v>
      </c>
      <c r="C31" s="246"/>
      <c r="D31" s="246"/>
      <c r="E31" s="246"/>
      <c r="F31" s="246"/>
      <c r="AA31" s="40"/>
      <c r="AB31" s="40"/>
      <c r="AC31" s="40"/>
      <c r="AD31" s="40"/>
      <c r="AE31" s="40"/>
      <c r="AF31" s="40"/>
      <c r="AG31" s="40"/>
      <c r="AH31" s="40"/>
      <c r="AI31" s="40"/>
      <c r="AJ31" s="40"/>
    </row>
    <row r="32" spans="1:57" x14ac:dyDescent="0.25"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</row>
    <row r="33" spans="1:57" x14ac:dyDescent="0.25">
      <c r="A33" s="100" t="s">
        <v>149</v>
      </c>
      <c r="B33" s="101" t="s">
        <v>150</v>
      </c>
      <c r="C33" s="52"/>
      <c r="AA33" s="40"/>
      <c r="AB33" s="40"/>
      <c r="AC33" s="40"/>
      <c r="AD33" s="40"/>
      <c r="AE33" s="40"/>
      <c r="AF33" s="40"/>
      <c r="AG33" s="40"/>
      <c r="AH33" s="40"/>
      <c r="AI33" s="40"/>
      <c r="AJ33" s="40"/>
    </row>
    <row r="34" spans="1:57" x14ac:dyDescent="0.25">
      <c r="A34" s="100" t="s">
        <v>151</v>
      </c>
      <c r="B34" s="101" t="s">
        <v>152</v>
      </c>
      <c r="C34" s="52"/>
    </row>
    <row r="35" spans="1:57" x14ac:dyDescent="0.25">
      <c r="A35" s="100" t="s">
        <v>153</v>
      </c>
      <c r="B35" s="101" t="s">
        <v>154</v>
      </c>
      <c r="C35" s="52"/>
    </row>
    <row r="36" spans="1:57" s="96" customFormat="1" ht="45" customHeight="1" x14ac:dyDescent="0.25">
      <c r="D36" s="244" t="s">
        <v>128</v>
      </c>
      <c r="E36" s="244"/>
      <c r="F36" s="95"/>
      <c r="G36" s="245" t="s">
        <v>3</v>
      </c>
      <c r="H36" s="245"/>
      <c r="I36" s="18"/>
      <c r="J36" s="245" t="s">
        <v>4</v>
      </c>
      <c r="K36" s="245"/>
      <c r="L36" s="18"/>
      <c r="M36" s="219" t="s">
        <v>5</v>
      </c>
      <c r="N36" s="219"/>
      <c r="O36" s="18"/>
      <c r="P36" s="219" t="s">
        <v>6</v>
      </c>
      <c r="Q36" s="219"/>
      <c r="R36" s="18"/>
      <c r="S36" s="219" t="s">
        <v>7</v>
      </c>
      <c r="T36" s="219"/>
      <c r="U36" s="18"/>
      <c r="V36" s="214" t="s">
        <v>8</v>
      </c>
      <c r="W36" s="214"/>
      <c r="X36" s="52"/>
      <c r="Y36" s="211" t="s">
        <v>9</v>
      </c>
      <c r="Z36" s="211"/>
      <c r="AA36" s="1"/>
      <c r="AB36" s="215" t="s">
        <v>10</v>
      </c>
      <c r="AC36" s="215"/>
      <c r="AD36" s="1"/>
      <c r="AE36" s="211" t="s">
        <v>11</v>
      </c>
      <c r="AF36" s="211"/>
      <c r="AG36" s="1"/>
      <c r="AH36" s="211" t="s">
        <v>12</v>
      </c>
      <c r="AI36" s="211"/>
      <c r="AJ36" s="1"/>
      <c r="AK36" s="211" t="s">
        <v>13</v>
      </c>
      <c r="AL36" s="211"/>
      <c r="AM36" s="1"/>
      <c r="AN36" s="211" t="s">
        <v>14</v>
      </c>
      <c r="AO36" s="211"/>
      <c r="AP36" s="1"/>
      <c r="AQ36" s="212" t="s">
        <v>15</v>
      </c>
      <c r="AR36" s="212"/>
      <c r="AS36" s="1"/>
      <c r="AT36" s="211" t="s">
        <v>16</v>
      </c>
      <c r="AU36" s="211"/>
      <c r="AV36" s="1"/>
      <c r="AW36" s="213" t="s">
        <v>17</v>
      </c>
      <c r="AX36" s="213"/>
      <c r="AY36" s="1"/>
      <c r="AZ36" s="213" t="s">
        <v>18</v>
      </c>
      <c r="BA36" s="213"/>
      <c r="BB36" s="1"/>
      <c r="BC36" s="213" t="s">
        <v>129</v>
      </c>
      <c r="BD36" s="213"/>
      <c r="BE36" s="1"/>
    </row>
    <row r="37" spans="1:57" s="96" customFormat="1" ht="45" customHeight="1" x14ac:dyDescent="0.25">
      <c r="D37" s="195" t="s">
        <v>130</v>
      </c>
      <c r="E37" s="147" t="s">
        <v>131</v>
      </c>
      <c r="F37" s="35"/>
      <c r="G37" s="151" t="s">
        <v>130</v>
      </c>
      <c r="H37" s="152" t="s">
        <v>131</v>
      </c>
      <c r="I37" s="52"/>
      <c r="J37" s="151" t="s">
        <v>130</v>
      </c>
      <c r="K37" s="152" t="s">
        <v>131</v>
      </c>
      <c r="L37" s="52"/>
      <c r="M37" s="132" t="s">
        <v>130</v>
      </c>
      <c r="N37" s="133" t="s">
        <v>131</v>
      </c>
      <c r="O37" s="52"/>
      <c r="P37" s="132" t="s">
        <v>130</v>
      </c>
      <c r="Q37" s="133" t="s">
        <v>131</v>
      </c>
      <c r="R37" s="52"/>
      <c r="S37" s="132" t="s">
        <v>130</v>
      </c>
      <c r="T37" s="133" t="s">
        <v>131</v>
      </c>
      <c r="U37" s="52"/>
      <c r="V37" s="96" t="s">
        <v>130</v>
      </c>
      <c r="W37" s="95" t="s">
        <v>131</v>
      </c>
      <c r="X37" s="52"/>
      <c r="Y37" s="96" t="s">
        <v>130</v>
      </c>
      <c r="Z37" s="95" t="s">
        <v>131</v>
      </c>
      <c r="AA37" s="52"/>
      <c r="AB37" s="96" t="s">
        <v>130</v>
      </c>
      <c r="AC37" s="95" t="s">
        <v>131</v>
      </c>
      <c r="AD37" s="52"/>
      <c r="AE37" s="96" t="s">
        <v>130</v>
      </c>
      <c r="AF37" s="95" t="s">
        <v>131</v>
      </c>
      <c r="AG37" s="34"/>
      <c r="AH37" s="96" t="s">
        <v>130</v>
      </c>
      <c r="AI37" s="95" t="s">
        <v>131</v>
      </c>
      <c r="AJ37" s="52"/>
      <c r="AK37" s="128" t="s">
        <v>130</v>
      </c>
      <c r="AL37" s="129" t="s">
        <v>131</v>
      </c>
      <c r="AM37" s="52"/>
      <c r="AN37" s="96" t="s">
        <v>130</v>
      </c>
      <c r="AO37" s="95" t="s">
        <v>131</v>
      </c>
      <c r="AP37" s="52"/>
      <c r="AQ37" s="196" t="s">
        <v>130</v>
      </c>
      <c r="AR37" s="142" t="s">
        <v>131</v>
      </c>
      <c r="AS37" s="52"/>
      <c r="AT37" s="197" t="s">
        <v>130</v>
      </c>
      <c r="AU37" s="129" t="s">
        <v>131</v>
      </c>
      <c r="AV37" s="52"/>
      <c r="AW37" s="96" t="s">
        <v>130</v>
      </c>
      <c r="AX37" s="95" t="s">
        <v>131</v>
      </c>
      <c r="AY37" s="52"/>
      <c r="AZ37" s="96" t="s">
        <v>130</v>
      </c>
      <c r="BA37" s="95" t="s">
        <v>131</v>
      </c>
      <c r="BB37" s="52"/>
      <c r="BC37" s="139" t="s">
        <v>130</v>
      </c>
      <c r="BD37" s="95" t="s">
        <v>131</v>
      </c>
      <c r="BE37" s="1"/>
    </row>
    <row r="38" spans="1:57" x14ac:dyDescent="0.25">
      <c r="B38" s="45"/>
      <c r="D38" s="149"/>
      <c r="E38" s="149"/>
      <c r="F38" s="81"/>
      <c r="G38" s="153"/>
      <c r="H38" s="153"/>
      <c r="J38" s="155"/>
      <c r="K38" s="155"/>
      <c r="L38" s="41"/>
      <c r="M38" s="161"/>
      <c r="N38" s="161"/>
      <c r="P38" s="134"/>
      <c r="Q38" s="134"/>
      <c r="S38" s="141"/>
      <c r="T38" s="141"/>
      <c r="V38" s="41"/>
      <c r="W38" s="41"/>
      <c r="Y38" s="41"/>
      <c r="Z38" s="41"/>
      <c r="AB38" s="182"/>
      <c r="AC38" s="182"/>
      <c r="AE38" s="40"/>
      <c r="AF38" s="40"/>
      <c r="AH38" s="40"/>
      <c r="AI38" s="40"/>
      <c r="AK38" s="130"/>
      <c r="AL38" s="130"/>
      <c r="AM38" s="40"/>
      <c r="AN38" s="40"/>
      <c r="AO38" s="40"/>
      <c r="AP38" s="40"/>
      <c r="AQ38" s="144"/>
      <c r="AR38" s="144"/>
      <c r="AS38" s="40"/>
      <c r="AT38" s="146"/>
      <c r="AU38" s="146"/>
      <c r="AV38" s="40"/>
      <c r="AW38" s="76"/>
      <c r="AX38" s="76"/>
      <c r="AY38" s="42"/>
      <c r="AZ38" s="42"/>
      <c r="BA38" s="42"/>
      <c r="BB38" s="42"/>
      <c r="BC38" s="76"/>
      <c r="BD38" s="76"/>
      <c r="BE38" s="42"/>
    </row>
    <row r="39" spans="1:57" ht="39.950000000000003" customHeight="1" x14ac:dyDescent="0.25">
      <c r="A39" s="247" t="s">
        <v>63</v>
      </c>
      <c r="B39" s="247"/>
      <c r="C39" s="247"/>
      <c r="D39" s="162">
        <v>17.989999999999998</v>
      </c>
      <c r="E39" s="162">
        <v>17.989999999999998</v>
      </c>
      <c r="F39" s="81"/>
      <c r="G39" s="153">
        <f>D39*SUM(1+$G$1/$Y$1)</f>
        <v>21.300159999999998</v>
      </c>
      <c r="H39" s="153">
        <f>E39*SUM(1+$G$1/$Y$1)</f>
        <v>21.300159999999998</v>
      </c>
      <c r="J39" s="155">
        <f t="shared" ref="J39:K39" si="54">G39-D39</f>
        <v>3.3101599999999998</v>
      </c>
      <c r="K39" s="155">
        <f t="shared" si="54"/>
        <v>3.3101599999999998</v>
      </c>
      <c r="L39" s="41"/>
      <c r="M39" s="161">
        <f t="shared" ref="M39:N39" si="55">ROUND(D39*(1+$G$1*2),2)*SUM(1+$M$1)</f>
        <v>23.430000000000003</v>
      </c>
      <c r="N39" s="161">
        <f t="shared" si="55"/>
        <v>23.430000000000003</v>
      </c>
      <c r="P39" s="134">
        <f t="shared" ref="P39:Q39" si="56">M39-D39</f>
        <v>5.4400000000000048</v>
      </c>
      <c r="Q39" s="134">
        <f t="shared" si="56"/>
        <v>5.4400000000000048</v>
      </c>
      <c r="S39" s="141">
        <f>AK39/G39</f>
        <v>9.999924883193366E-2</v>
      </c>
      <c r="T39" s="141">
        <f>AL39/H39</f>
        <v>9.999924883193366E-2</v>
      </c>
      <c r="V39" s="41">
        <f>SUM(D39/(1-$Y$1))</f>
        <v>35.979999999999997</v>
      </c>
      <c r="W39" s="41">
        <f>SUM(E39/(1-$Y$1))</f>
        <v>35.979999999999997</v>
      </c>
      <c r="Y39" s="41">
        <f t="shared" ref="Y39:Z39" si="57">ROUND(D39/(1-$Y$1)*1.2,2)</f>
        <v>43.18</v>
      </c>
      <c r="Z39" s="41">
        <f t="shared" si="57"/>
        <v>43.18</v>
      </c>
      <c r="AB39" s="182">
        <f t="shared" ref="AB39:AC39" si="58">ROUNDDOWN(D39/(1-$Y$1)*1.2,1)</f>
        <v>43.1</v>
      </c>
      <c r="AC39" s="182">
        <f t="shared" si="58"/>
        <v>43.1</v>
      </c>
      <c r="AE39" s="40">
        <f t="shared" ref="AE39:AF39" si="59">AB39/1.2</f>
        <v>35.916666666666671</v>
      </c>
      <c r="AF39" s="40">
        <f t="shared" si="59"/>
        <v>35.916666666666671</v>
      </c>
      <c r="AH39" s="40">
        <f t="shared" ref="AH39:AI39" si="60">Y39-AB39</f>
        <v>7.9999999999998295E-2</v>
      </c>
      <c r="AI39" s="40">
        <f t="shared" si="60"/>
        <v>7.9999999999998295E-2</v>
      </c>
      <c r="AK39" s="130">
        <f t="shared" ref="AK39" si="61">ROUND(M39*(1-(1/(1+$AL$1))),2)</f>
        <v>2.13</v>
      </c>
      <c r="AL39" s="130">
        <f>ROUND(N39*(1-(1/(1+$AL$1))),2)</f>
        <v>2.13</v>
      </c>
      <c r="AM39" s="40"/>
      <c r="AN39" s="40">
        <f t="shared" ref="AN39" si="62">SUM(V39-G39)-AH39</f>
        <v>14.59984</v>
      </c>
      <c r="AO39" s="40">
        <f t="shared" ref="AO39" si="63">SUM(W39-H39)-AI39</f>
        <v>14.59984</v>
      </c>
      <c r="AP39" s="40"/>
      <c r="AQ39" s="144">
        <f>(SUM(G39-D39)/D39*$Y$1)</f>
        <v>9.1999999999999998E-2</v>
      </c>
      <c r="AR39" s="144">
        <f>(SUM(H39-E39)/E39*$Y$1)</f>
        <v>9.1999999999999998E-2</v>
      </c>
      <c r="AS39" s="40"/>
      <c r="AT39" s="146">
        <f>AN39/V39</f>
        <v>0.40577654252362427</v>
      </c>
      <c r="AU39" s="146">
        <f>AO39/W39</f>
        <v>0.40577654252362427</v>
      </c>
      <c r="AV39" s="40"/>
      <c r="AW39" s="76">
        <f>D39/V39</f>
        <v>0.5</v>
      </c>
      <c r="AX39" s="76">
        <f>E39/W39</f>
        <v>0.5</v>
      </c>
      <c r="AY39" s="42"/>
      <c r="AZ39" s="42">
        <f>J39+AN39</f>
        <v>17.91</v>
      </c>
      <c r="BA39" s="42">
        <f>K39+AO39</f>
        <v>17.91</v>
      </c>
      <c r="BB39" s="42"/>
      <c r="BC39" s="76">
        <f>AZ39/(D39/$Y$1)</f>
        <v>0.4977765425236243</v>
      </c>
      <c r="BD39" s="76">
        <f>BA39/(E39/$Y$1)</f>
        <v>0.4977765425236243</v>
      </c>
      <c r="BE39" s="42"/>
    </row>
    <row r="40" spans="1:57" x14ac:dyDescent="0.25">
      <c r="A40" s="52"/>
      <c r="B40" s="52"/>
      <c r="C40" s="98"/>
      <c r="D40" s="52"/>
      <c r="E40" s="52"/>
      <c r="F40" s="40"/>
    </row>
    <row r="41" spans="1:57" x14ac:dyDescent="0.25">
      <c r="A41" s="45" t="s">
        <v>64</v>
      </c>
      <c r="B41" s="45" t="s">
        <v>65</v>
      </c>
      <c r="C41" s="45" t="s">
        <v>66</v>
      </c>
    </row>
    <row r="42" spans="1:57" s="122" customFormat="1" ht="30" customHeight="1" x14ac:dyDescent="0.25">
      <c r="A42" s="120"/>
      <c r="B42" s="121" t="s">
        <v>67</v>
      </c>
      <c r="C42" s="248" t="s">
        <v>68</v>
      </c>
      <c r="D42" s="248"/>
      <c r="E42" s="248"/>
      <c r="F42" s="248"/>
      <c r="G42" s="248"/>
      <c r="H42" s="248"/>
      <c r="I42" s="248"/>
      <c r="J42" s="248"/>
      <c r="K42" s="248"/>
      <c r="L42" s="248"/>
      <c r="M42" s="248"/>
    </row>
    <row r="43" spans="1:57" s="122" customFormat="1" ht="30" customHeight="1" x14ac:dyDescent="0.25">
      <c r="A43" s="120"/>
      <c r="B43" s="121"/>
      <c r="C43" s="248"/>
      <c r="D43" s="248"/>
      <c r="E43" s="248"/>
      <c r="F43" s="248"/>
      <c r="G43" s="248"/>
      <c r="H43" s="248"/>
      <c r="I43" s="248"/>
      <c r="J43" s="248"/>
      <c r="K43" s="248"/>
      <c r="L43" s="248"/>
      <c r="M43" s="248"/>
    </row>
    <row r="44" spans="1:57" x14ac:dyDescent="0.25">
      <c r="B44" s="45" t="s">
        <v>69</v>
      </c>
      <c r="C44" s="45" t="s">
        <v>70</v>
      </c>
      <c r="G44" s="40"/>
    </row>
    <row r="45" spans="1:57" x14ac:dyDescent="0.25">
      <c r="B45" s="45" t="s">
        <v>71</v>
      </c>
      <c r="C45" s="45" t="s">
        <v>72</v>
      </c>
      <c r="G45" s="40"/>
    </row>
    <row r="46" spans="1:57" x14ac:dyDescent="0.25">
      <c r="A46" s="52"/>
      <c r="B46" s="52"/>
      <c r="C46" s="98"/>
      <c r="D46" s="52"/>
      <c r="E46" s="52"/>
      <c r="F46" s="40"/>
    </row>
    <row r="47" spans="1:57" x14ac:dyDescent="0.25">
      <c r="A47" s="46" t="s">
        <v>73</v>
      </c>
      <c r="B47" s="1" t="s">
        <v>74</v>
      </c>
      <c r="C47" s="46" t="s">
        <v>75</v>
      </c>
      <c r="D47" s="25"/>
      <c r="F47" s="47"/>
    </row>
    <row r="48" spans="1:57" x14ac:dyDescent="0.25">
      <c r="A48" s="25"/>
      <c r="B48" s="1" t="s">
        <v>76</v>
      </c>
      <c r="C48" s="47" t="s">
        <v>77</v>
      </c>
      <c r="D48" s="25"/>
      <c r="F48" s="47"/>
    </row>
    <row r="49" spans="1:12" x14ac:dyDescent="0.25">
      <c r="A49" s="25"/>
      <c r="B49" s="1" t="s">
        <v>78</v>
      </c>
      <c r="C49" s="47" t="s">
        <v>79</v>
      </c>
      <c r="D49" s="25"/>
      <c r="F49" s="47"/>
    </row>
    <row r="50" spans="1:12" x14ac:dyDescent="0.25">
      <c r="A50" s="25"/>
      <c r="B50" s="1" t="s">
        <v>80</v>
      </c>
      <c r="C50" s="47" t="s">
        <v>81</v>
      </c>
      <c r="D50" s="25"/>
      <c r="F50" s="47"/>
    </row>
    <row r="51" spans="1:12" x14ac:dyDescent="0.25">
      <c r="F51" s="52"/>
      <c r="G51" s="52"/>
      <c r="H51" s="52"/>
      <c r="I51" s="52"/>
      <c r="J51" s="52"/>
      <c r="K51" s="52"/>
      <c r="L51" s="52"/>
    </row>
    <row r="52" spans="1:12" x14ac:dyDescent="0.25">
      <c r="A52" s="1" t="s">
        <v>82</v>
      </c>
      <c r="C52" s="1" t="s">
        <v>83</v>
      </c>
      <c r="F52" s="99"/>
      <c r="G52" s="99"/>
      <c r="H52" s="99"/>
      <c r="I52" s="99"/>
      <c r="J52" s="99"/>
      <c r="K52" s="99"/>
      <c r="L52" s="99"/>
    </row>
    <row r="53" spans="1:12" x14ac:dyDescent="0.25">
      <c r="A53" s="99"/>
      <c r="F53" s="99"/>
      <c r="G53" s="99"/>
      <c r="H53" s="99"/>
      <c r="I53" s="99"/>
      <c r="J53" s="99"/>
      <c r="K53" s="99"/>
      <c r="L53" s="99"/>
    </row>
    <row r="54" spans="1:12" x14ac:dyDescent="0.25">
      <c r="A54" s="52" t="s">
        <v>84</v>
      </c>
      <c r="B54" s="52"/>
      <c r="C54" s="52"/>
      <c r="D54" s="52"/>
      <c r="E54" s="52"/>
      <c r="F54" s="99"/>
      <c r="G54" s="99"/>
      <c r="H54" s="99"/>
      <c r="I54" s="99"/>
      <c r="J54" s="99"/>
      <c r="K54" s="99"/>
      <c r="L54" s="99"/>
    </row>
  </sheetData>
  <mergeCells count="40">
    <mergeCell ref="D2:E2"/>
    <mergeCell ref="G2:H2"/>
    <mergeCell ref="J2:K2"/>
    <mergeCell ref="M2:N2"/>
    <mergeCell ref="P2:Q2"/>
    <mergeCell ref="AZ2:BA2"/>
    <mergeCell ref="BC2:BD2"/>
    <mergeCell ref="V2:W2"/>
    <mergeCell ref="Y2:Z2"/>
    <mergeCell ref="AB2:AC2"/>
    <mergeCell ref="AE2:AF2"/>
    <mergeCell ref="AH2:AI2"/>
    <mergeCell ref="AK2:AL2"/>
    <mergeCell ref="M36:N36"/>
    <mergeCell ref="AN2:AO2"/>
    <mergeCell ref="AQ2:AR2"/>
    <mergeCell ref="AT2:AU2"/>
    <mergeCell ref="AW2:AX2"/>
    <mergeCell ref="S2:T2"/>
    <mergeCell ref="B30:E30"/>
    <mergeCell ref="B31:F31"/>
    <mergeCell ref="D36:E36"/>
    <mergeCell ref="G36:H36"/>
    <mergeCell ref="J36:K36"/>
    <mergeCell ref="AZ36:BA36"/>
    <mergeCell ref="BC36:BD36"/>
    <mergeCell ref="A39:C39"/>
    <mergeCell ref="C42:M43"/>
    <mergeCell ref="AH36:AI36"/>
    <mergeCell ref="AK36:AL36"/>
    <mergeCell ref="AN36:AO36"/>
    <mergeCell ref="AQ36:AR36"/>
    <mergeCell ref="AT36:AU36"/>
    <mergeCell ref="AW36:AX36"/>
    <mergeCell ref="P36:Q36"/>
    <mergeCell ref="S36:T36"/>
    <mergeCell ref="V36:W36"/>
    <mergeCell ref="Y36:Z36"/>
    <mergeCell ref="AB36:AC36"/>
    <mergeCell ref="AE36:AF36"/>
  </mergeCells>
  <pageMargins left="0.7" right="0.7" top="0.75" bottom="0.75" header="0.3" footer="0.3"/>
  <pageSetup paperSize="9" orientation="portrait" horizontalDpi="4294967295" verticalDpi="4294967295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ADECB-4DEA-4475-A489-A8443BDFA0AE}">
  <sheetPr>
    <tabColor rgb="FFFFC000"/>
  </sheetPr>
  <dimension ref="A1:BE58"/>
  <sheetViews>
    <sheetView zoomScale="85" zoomScaleNormal="8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3" sqref="B3"/>
    </sheetView>
  </sheetViews>
  <sheetFormatPr defaultColWidth="8.85546875" defaultRowHeight="15" x14ac:dyDescent="0.25"/>
  <cols>
    <col min="1" max="1" width="37.5703125" style="1" customWidth="1"/>
    <col min="2" max="2" width="10.7109375" style="1" customWidth="1"/>
    <col min="3" max="3" width="32.140625" style="1" customWidth="1"/>
    <col min="4" max="5" width="10" style="1" customWidth="1"/>
    <col min="6" max="6" width="3.7109375" style="1" customWidth="1"/>
    <col min="7" max="8" width="9.7109375" style="1" customWidth="1"/>
    <col min="9" max="9" width="3.7109375" style="1" customWidth="1"/>
    <col min="10" max="11" width="9.7109375" style="1" customWidth="1"/>
    <col min="12" max="12" width="3.7109375" style="1" customWidth="1"/>
    <col min="13" max="13" width="13" style="1" customWidth="1"/>
    <col min="14" max="14" width="11.85546875" style="1" bestFit="1" customWidth="1"/>
    <col min="15" max="15" width="3.7109375" style="1" customWidth="1"/>
    <col min="16" max="17" width="9.7109375" style="1" customWidth="1"/>
    <col min="18" max="18" width="3.7109375" style="1" customWidth="1"/>
    <col min="19" max="20" width="9.7109375" style="1" customWidth="1"/>
    <col min="21" max="21" width="5.140625" style="1" customWidth="1"/>
    <col min="22" max="22" width="12.42578125" style="1" customWidth="1"/>
    <col min="23" max="23" width="11.85546875" style="1" customWidth="1"/>
    <col min="24" max="24" width="6.140625" style="1" customWidth="1"/>
    <col min="25" max="25" width="12.42578125" style="1" customWidth="1"/>
    <col min="26" max="26" width="11.85546875" style="1" customWidth="1"/>
    <col min="27" max="27" width="3.7109375" style="1" customWidth="1"/>
    <col min="28" max="29" width="9.7109375" style="1" customWidth="1"/>
    <col min="30" max="30" width="3.7109375" style="1" customWidth="1"/>
    <col min="31" max="32" width="9.7109375" style="1" customWidth="1"/>
    <col min="33" max="33" width="3.7109375" style="1" customWidth="1"/>
    <col min="34" max="35" width="9.7109375" style="1" customWidth="1"/>
    <col min="36" max="36" width="3.7109375" style="1" customWidth="1"/>
    <col min="37" max="38" width="9.7109375" style="1" customWidth="1"/>
    <col min="39" max="39" width="3.7109375" style="1" customWidth="1"/>
    <col min="40" max="41" width="9.7109375" style="1" customWidth="1"/>
    <col min="42" max="42" width="3.7109375" style="1" customWidth="1"/>
    <col min="43" max="44" width="9.7109375" style="1" customWidth="1"/>
    <col min="45" max="45" width="3.7109375" style="1" customWidth="1"/>
    <col min="46" max="47" width="9.7109375" style="1" customWidth="1"/>
    <col min="48" max="48" width="3.7109375" style="1" customWidth="1"/>
    <col min="49" max="50" width="9.7109375" style="1" customWidth="1"/>
    <col min="51" max="51" width="3.7109375" style="1" customWidth="1"/>
    <col min="52" max="53" width="9.7109375" style="1" customWidth="1"/>
    <col min="54" max="54" width="3.7109375" style="1" customWidth="1"/>
    <col min="55" max="55" width="11.85546875" style="1" customWidth="1"/>
    <col min="56" max="56" width="10.42578125" style="1" customWidth="1"/>
    <col min="57" max="57" width="8.140625" style="1" customWidth="1"/>
    <col min="58" max="16384" width="8.85546875" style="1"/>
  </cols>
  <sheetData>
    <row r="1" spans="1:57" ht="15" customHeight="1" thickBot="1" x14ac:dyDescent="0.3">
      <c r="A1" s="201" t="s">
        <v>198</v>
      </c>
      <c r="C1" s="171" t="s">
        <v>0</v>
      </c>
      <c r="D1" s="163">
        <v>0.09</v>
      </c>
      <c r="E1" s="163">
        <v>0.17499999999999999</v>
      </c>
      <c r="F1" s="18"/>
      <c r="G1" s="194">
        <v>0.1</v>
      </c>
      <c r="H1" s="170" t="s">
        <v>1</v>
      </c>
      <c r="I1" s="18"/>
      <c r="J1" s="18"/>
      <c r="K1" s="18"/>
      <c r="L1" s="18"/>
      <c r="M1" s="92">
        <v>0.1</v>
      </c>
      <c r="N1" s="18"/>
      <c r="O1" s="18"/>
      <c r="P1" s="18"/>
      <c r="Q1" s="18"/>
      <c r="R1" s="18"/>
      <c r="S1" s="18"/>
      <c r="T1" s="18"/>
      <c r="U1" s="18"/>
      <c r="V1" s="92"/>
      <c r="W1" s="18"/>
      <c r="X1" s="92"/>
      <c r="Y1" s="91">
        <v>0.5</v>
      </c>
      <c r="Z1" s="18"/>
      <c r="AL1" s="83">
        <v>0.1</v>
      </c>
    </row>
    <row r="2" spans="1:57" ht="48" customHeight="1" x14ac:dyDescent="0.25">
      <c r="A2" s="4" t="s">
        <v>215</v>
      </c>
      <c r="D2" s="244" t="s">
        <v>128</v>
      </c>
      <c r="E2" s="244"/>
      <c r="F2" s="95"/>
      <c r="G2" s="245" t="s">
        <v>3</v>
      </c>
      <c r="H2" s="245"/>
      <c r="I2" s="18"/>
      <c r="J2" s="245" t="s">
        <v>4</v>
      </c>
      <c r="K2" s="245"/>
      <c r="L2" s="18"/>
      <c r="M2" s="219" t="s">
        <v>5</v>
      </c>
      <c r="N2" s="219"/>
      <c r="O2" s="18"/>
      <c r="P2" s="219" t="s">
        <v>6</v>
      </c>
      <c r="Q2" s="219"/>
      <c r="R2" s="18"/>
      <c r="S2" s="219" t="s">
        <v>7</v>
      </c>
      <c r="T2" s="219"/>
      <c r="U2" s="18"/>
      <c r="V2" s="214" t="s">
        <v>8</v>
      </c>
      <c r="W2" s="214"/>
      <c r="X2" s="52"/>
      <c r="Y2" s="211" t="s">
        <v>9</v>
      </c>
      <c r="Z2" s="211"/>
      <c r="AB2" s="215" t="s">
        <v>10</v>
      </c>
      <c r="AC2" s="215"/>
      <c r="AE2" s="211" t="s">
        <v>11</v>
      </c>
      <c r="AF2" s="211"/>
      <c r="AH2" s="211" t="s">
        <v>12</v>
      </c>
      <c r="AI2" s="211"/>
      <c r="AK2" s="211" t="s">
        <v>13</v>
      </c>
      <c r="AL2" s="211"/>
      <c r="AN2" s="211" t="s">
        <v>14</v>
      </c>
      <c r="AO2" s="211"/>
      <c r="AQ2" s="212" t="s">
        <v>15</v>
      </c>
      <c r="AR2" s="212"/>
      <c r="AT2" s="211" t="s">
        <v>16</v>
      </c>
      <c r="AU2" s="211"/>
      <c r="AW2" s="213" t="s">
        <v>17</v>
      </c>
      <c r="AX2" s="213"/>
      <c r="AZ2" s="213" t="s">
        <v>18</v>
      </c>
      <c r="BA2" s="213"/>
      <c r="BC2" s="213" t="s">
        <v>129</v>
      </c>
      <c r="BD2" s="213"/>
    </row>
    <row r="3" spans="1:57" s="52" customFormat="1" ht="102" customHeight="1" thickBot="1" x14ac:dyDescent="0.3">
      <c r="A3" s="97"/>
      <c r="B3" s="251" t="s">
        <v>213</v>
      </c>
      <c r="D3" s="195" t="s">
        <v>130</v>
      </c>
      <c r="E3" s="147" t="s">
        <v>131</v>
      </c>
      <c r="F3" s="35"/>
      <c r="G3" s="151" t="s">
        <v>130</v>
      </c>
      <c r="H3" s="152" t="s">
        <v>131</v>
      </c>
      <c r="J3" s="151" t="s">
        <v>130</v>
      </c>
      <c r="K3" s="152" t="s">
        <v>131</v>
      </c>
      <c r="M3" s="132" t="s">
        <v>130</v>
      </c>
      <c r="N3" s="133" t="s">
        <v>131</v>
      </c>
      <c r="P3" s="132" t="s">
        <v>130</v>
      </c>
      <c r="Q3" s="133" t="s">
        <v>131</v>
      </c>
      <c r="S3" s="132" t="s">
        <v>130</v>
      </c>
      <c r="T3" s="133" t="s">
        <v>131</v>
      </c>
      <c r="V3" s="96" t="s">
        <v>130</v>
      </c>
      <c r="W3" s="95" t="s">
        <v>131</v>
      </c>
      <c r="Y3" s="96" t="s">
        <v>130</v>
      </c>
      <c r="Z3" s="95" t="s">
        <v>131</v>
      </c>
      <c r="AB3" s="96" t="s">
        <v>130</v>
      </c>
      <c r="AC3" s="95" t="s">
        <v>131</v>
      </c>
      <c r="AE3" s="96" t="s">
        <v>130</v>
      </c>
      <c r="AF3" s="95" t="s">
        <v>131</v>
      </c>
      <c r="AG3" s="34"/>
      <c r="AH3" s="96" t="s">
        <v>130</v>
      </c>
      <c r="AI3" s="95" t="s">
        <v>131</v>
      </c>
      <c r="AK3" s="128" t="s">
        <v>130</v>
      </c>
      <c r="AL3" s="129" t="s">
        <v>131</v>
      </c>
      <c r="AN3" s="96" t="s">
        <v>130</v>
      </c>
      <c r="AO3" s="95" t="s">
        <v>131</v>
      </c>
      <c r="AQ3" s="196" t="s">
        <v>130</v>
      </c>
      <c r="AR3" s="142" t="s">
        <v>131</v>
      </c>
      <c r="AT3" s="197" t="s">
        <v>130</v>
      </c>
      <c r="AU3" s="129" t="s">
        <v>131</v>
      </c>
      <c r="AW3" s="96" t="s">
        <v>130</v>
      </c>
      <c r="AX3" s="95" t="s">
        <v>131</v>
      </c>
      <c r="AZ3" s="96" t="s">
        <v>130</v>
      </c>
      <c r="BA3" s="95" t="s">
        <v>131</v>
      </c>
      <c r="BC3" s="139" t="s">
        <v>130</v>
      </c>
      <c r="BD3" s="95" t="s">
        <v>131</v>
      </c>
    </row>
    <row r="4" spans="1:57" ht="15.75" thickBot="1" x14ac:dyDescent="0.3">
      <c r="A4" s="167" t="s">
        <v>132</v>
      </c>
      <c r="B4" s="163">
        <v>0.1</v>
      </c>
      <c r="D4" s="137"/>
      <c r="E4" s="148"/>
      <c r="F4" s="39"/>
      <c r="G4" s="138"/>
      <c r="H4" s="138"/>
      <c r="J4" s="154"/>
      <c r="K4" s="154"/>
      <c r="M4" s="123"/>
      <c r="N4" s="123"/>
      <c r="P4" s="123"/>
      <c r="Q4" s="123"/>
      <c r="S4" s="140"/>
      <c r="T4" s="140"/>
      <c r="V4" s="75"/>
      <c r="AK4" s="131"/>
      <c r="AL4" s="131"/>
      <c r="AQ4" s="143"/>
      <c r="AR4" s="143"/>
      <c r="AT4" s="131"/>
      <c r="AU4" s="131"/>
    </row>
    <row r="5" spans="1:57" x14ac:dyDescent="0.25">
      <c r="A5" t="s">
        <v>133</v>
      </c>
      <c r="D5" s="162">
        <f>ROUND('AMT Gold Inc Cruise - 24 Feb26'!D5*(1+$B$4)*(1+D$1),2)</f>
        <v>60.75</v>
      </c>
      <c r="E5" s="162">
        <f>ROUND('AMT Gold Inc Cruise - 24 Feb26'!E5*(1+$B$4)*(1+E$1),2)</f>
        <v>90.13</v>
      </c>
      <c r="F5" s="81"/>
      <c r="G5" s="153">
        <f t="shared" ref="G5:H8" si="0">D5*SUM(1+$G$1/$Y$1)</f>
        <v>72.899999999999991</v>
      </c>
      <c r="H5" s="153">
        <f t="shared" si="0"/>
        <v>108.15599999999999</v>
      </c>
      <c r="I5" s="83"/>
      <c r="J5" s="155">
        <f>G5-D5</f>
        <v>12.149999999999991</v>
      </c>
      <c r="K5" s="155">
        <f>H5-E5</f>
        <v>18.025999999999996</v>
      </c>
      <c r="L5" s="83"/>
      <c r="M5" s="134">
        <f>ROUND(D5*(1+$G$1*2),2)*SUM(1+$M$1)</f>
        <v>80.190000000000012</v>
      </c>
      <c r="N5" s="134">
        <f>ROUND(E5*(1+$G$1*2),2)*SUM(1+$M$1)</f>
        <v>118.976</v>
      </c>
      <c r="P5" s="134">
        <f>M5-D5</f>
        <v>19.440000000000012</v>
      </c>
      <c r="Q5" s="134">
        <f>N5-E5</f>
        <v>28.846000000000004</v>
      </c>
      <c r="S5" s="141">
        <f t="shared" ref="S5:T8" si="1">AK5/G5</f>
        <v>0.1</v>
      </c>
      <c r="T5" s="141">
        <f t="shared" si="1"/>
        <v>0.10004068197788381</v>
      </c>
      <c r="V5" s="41">
        <f t="shared" ref="V5:W8" si="2">SUM(D5/(1-$Y$1))</f>
        <v>121.5</v>
      </c>
      <c r="W5" s="41">
        <f t="shared" si="2"/>
        <v>180.26</v>
      </c>
      <c r="X5" s="82"/>
      <c r="Y5" s="41">
        <f>ROUND(D5/(1-$Y$1)*1.2,2)</f>
        <v>145.80000000000001</v>
      </c>
      <c r="Z5" s="41">
        <f>ROUND(E5/(1-$Y$1)*1.2,2)</f>
        <v>216.31</v>
      </c>
      <c r="AB5" s="182">
        <f>ROUNDDOWN(D5/(1-$Y$1)*1.2,1)</f>
        <v>145.80000000000001</v>
      </c>
      <c r="AC5" s="182">
        <f>ROUNDDOWN(E5/(1-$Y$1)*1.2,1)</f>
        <v>216.3</v>
      </c>
      <c r="AE5" s="40">
        <f>AB5/1.2</f>
        <v>121.50000000000001</v>
      </c>
      <c r="AF5" s="40">
        <f>AC5/1.2</f>
        <v>180.25000000000003</v>
      </c>
      <c r="AH5" s="40">
        <f>Y5-AB5</f>
        <v>0</v>
      </c>
      <c r="AI5" s="40">
        <f>Z5-AC5</f>
        <v>9.9999999999909051E-3</v>
      </c>
      <c r="AK5" s="130">
        <f t="shared" ref="AK5:AL8" si="3">ROUND(M5*(1-(1/(1+$AL$1))),2)</f>
        <v>7.29</v>
      </c>
      <c r="AL5" s="130">
        <f t="shared" si="3"/>
        <v>10.82</v>
      </c>
      <c r="AM5" s="40"/>
      <c r="AN5" s="40">
        <f>SUM(V5-G5)-AH5</f>
        <v>48.600000000000009</v>
      </c>
      <c r="AO5" s="40">
        <f>SUM(W5-H5)-AI5</f>
        <v>72.094000000000008</v>
      </c>
      <c r="AP5" s="40"/>
      <c r="AQ5" s="144">
        <f t="shared" ref="AQ5:AR8" si="4">(SUM(G5-D5)/D5*$Y$1)</f>
        <v>9.9999999999999936E-2</v>
      </c>
      <c r="AR5" s="144">
        <f t="shared" si="4"/>
        <v>9.9999999999999978E-2</v>
      </c>
      <c r="AS5" s="40"/>
      <c r="AT5" s="146">
        <f t="shared" ref="AT5:AU8" si="5">AN5/V5</f>
        <v>0.40000000000000008</v>
      </c>
      <c r="AU5" s="146">
        <f t="shared" si="5"/>
        <v>0.39994452457561308</v>
      </c>
      <c r="AV5" s="40"/>
      <c r="AW5" s="76">
        <f t="shared" ref="AW5:AX8" si="6">D5/V5</f>
        <v>0.5</v>
      </c>
      <c r="AX5" s="76">
        <f t="shared" si="6"/>
        <v>0.5</v>
      </c>
      <c r="AY5" s="42"/>
      <c r="AZ5" s="42">
        <f t="shared" ref="AZ5:BA8" si="7">J5+AN5</f>
        <v>60.75</v>
      </c>
      <c r="BA5" s="42">
        <f t="shared" si="7"/>
        <v>90.12</v>
      </c>
      <c r="BB5" s="42"/>
      <c r="BC5" s="76">
        <f t="shared" ref="BC5:BD8" si="8">AZ5/(D5/$Y$1)</f>
        <v>0.5</v>
      </c>
      <c r="BD5" s="76">
        <f t="shared" si="8"/>
        <v>0.49994452457561306</v>
      </c>
      <c r="BE5" s="42"/>
    </row>
    <row r="6" spans="1:57" x14ac:dyDescent="0.25">
      <c r="A6" t="s">
        <v>134</v>
      </c>
      <c r="D6" s="162">
        <f>ROUND('AMT Gold Inc Cruise - 24 Feb26'!D6*(1+$B$4)*(1+D$1),2)</f>
        <v>90.07</v>
      </c>
      <c r="E6" s="162">
        <f>ROUND('AMT Gold Inc Cruise - 24 Feb26'!E6*(1+$B$4)*(1+E$1),2)</f>
        <v>132.84</v>
      </c>
      <c r="F6" s="81"/>
      <c r="G6" s="153">
        <f t="shared" si="0"/>
        <v>108.08399999999999</v>
      </c>
      <c r="H6" s="153">
        <f t="shared" si="0"/>
        <v>159.40799999999999</v>
      </c>
      <c r="I6" s="83"/>
      <c r="J6" s="155">
        <f>G6-D6</f>
        <v>18.013999999999996</v>
      </c>
      <c r="K6" s="155">
        <f>H6-E6</f>
        <v>26.567999999999984</v>
      </c>
      <c r="L6" s="83"/>
      <c r="M6" s="134">
        <f t="shared" ref="M6:N8" si="9">ROUND(D6*(1+$G$1*2),2)*SUM(1+$M$1)</f>
        <v>118.88800000000001</v>
      </c>
      <c r="N6" s="134">
        <f t="shared" si="9"/>
        <v>175.351</v>
      </c>
      <c r="P6" s="134">
        <f>M6-D6</f>
        <v>28.818000000000012</v>
      </c>
      <c r="Q6" s="134">
        <f>N6-E6</f>
        <v>42.510999999999996</v>
      </c>
      <c r="S6" s="141">
        <f t="shared" si="1"/>
        <v>0.10001480330113617</v>
      </c>
      <c r="T6" s="141">
        <f t="shared" si="1"/>
        <v>9.9994981431295801E-2</v>
      </c>
      <c r="V6" s="41">
        <f t="shared" si="2"/>
        <v>180.14</v>
      </c>
      <c r="W6" s="41">
        <f t="shared" si="2"/>
        <v>265.68</v>
      </c>
      <c r="X6" s="82"/>
      <c r="Y6" s="41">
        <f t="shared" ref="Y6:Z8" si="10">ROUND(D6/(1-$Y$1)*1.2,2)</f>
        <v>216.17</v>
      </c>
      <c r="Z6" s="41">
        <f t="shared" si="10"/>
        <v>318.82</v>
      </c>
      <c r="AB6" s="182">
        <f t="shared" ref="AB6:AC8" si="11">ROUNDDOWN(D6/(1-$Y$1)*1.2,1)</f>
        <v>216.1</v>
      </c>
      <c r="AC6" s="182">
        <f t="shared" si="11"/>
        <v>318.8</v>
      </c>
      <c r="AE6" s="40">
        <f t="shared" ref="AE6:AF8" si="12">AB6/1.2</f>
        <v>180.08333333333334</v>
      </c>
      <c r="AF6" s="40">
        <f t="shared" si="12"/>
        <v>265.66666666666669</v>
      </c>
      <c r="AH6" s="40">
        <f t="shared" ref="AH6:AI8" si="13">Y6-AB6</f>
        <v>6.9999999999993179E-2</v>
      </c>
      <c r="AI6" s="40">
        <f t="shared" si="13"/>
        <v>1.999999999998181E-2</v>
      </c>
      <c r="AK6" s="130">
        <f t="shared" si="3"/>
        <v>10.81</v>
      </c>
      <c r="AL6" s="130">
        <f t="shared" si="3"/>
        <v>15.94</v>
      </c>
      <c r="AM6" s="40"/>
      <c r="AN6" s="40">
        <f t="shared" ref="AN6:AO8" si="14">SUM(V6-G6)-AH6</f>
        <v>71.986000000000004</v>
      </c>
      <c r="AO6" s="40">
        <f t="shared" si="14"/>
        <v>106.25200000000004</v>
      </c>
      <c r="AP6" s="40"/>
      <c r="AQ6" s="144">
        <f t="shared" si="4"/>
        <v>9.9999999999999978E-2</v>
      </c>
      <c r="AR6" s="144">
        <f t="shared" si="4"/>
        <v>9.9999999999999936E-2</v>
      </c>
      <c r="AS6" s="40"/>
      <c r="AT6" s="146">
        <f t="shared" si="5"/>
        <v>0.39961141334517603</v>
      </c>
      <c r="AU6" s="146">
        <f t="shared" si="5"/>
        <v>0.39992472146943703</v>
      </c>
      <c r="AV6" s="40"/>
      <c r="AW6" s="76">
        <f t="shared" si="6"/>
        <v>0.5</v>
      </c>
      <c r="AX6" s="76">
        <f t="shared" si="6"/>
        <v>0.5</v>
      </c>
      <c r="AY6" s="42"/>
      <c r="AZ6" s="42">
        <f t="shared" si="7"/>
        <v>90</v>
      </c>
      <c r="BA6" s="42">
        <f t="shared" si="7"/>
        <v>132.82000000000002</v>
      </c>
      <c r="BB6" s="42"/>
      <c r="BC6" s="76">
        <f t="shared" si="8"/>
        <v>0.499611413345176</v>
      </c>
      <c r="BD6" s="76">
        <f t="shared" si="8"/>
        <v>0.49992472146943701</v>
      </c>
      <c r="BE6" s="42"/>
    </row>
    <row r="7" spans="1:57" x14ac:dyDescent="0.25">
      <c r="A7" t="s">
        <v>135</v>
      </c>
      <c r="D7" s="162">
        <f>ROUND('AMT Gold Inc Cruise - 24 Feb26'!D7*(1+$B$4)*(1+D$1),2)</f>
        <v>100.48</v>
      </c>
      <c r="E7" s="162">
        <f>ROUND('AMT Gold Inc Cruise - 24 Feb26'!E7*(1+$B$4)*(1+E$1),2)</f>
        <v>151.41999999999999</v>
      </c>
      <c r="F7" s="81"/>
      <c r="G7" s="153">
        <f t="shared" si="0"/>
        <v>120.57599999999999</v>
      </c>
      <c r="H7" s="153">
        <f t="shared" si="0"/>
        <v>181.70399999999998</v>
      </c>
      <c r="J7" s="155">
        <f t="shared" ref="J7:K8" si="15">G7-D7</f>
        <v>20.095999999999989</v>
      </c>
      <c r="K7" s="155">
        <f t="shared" si="15"/>
        <v>30.283999999999992</v>
      </c>
      <c r="M7" s="134">
        <f t="shared" si="9"/>
        <v>132.63800000000001</v>
      </c>
      <c r="N7" s="134">
        <f t="shared" si="9"/>
        <v>199.87</v>
      </c>
      <c r="P7" s="134">
        <f t="shared" ref="P7:Q8" si="16">M7-D7</f>
        <v>32.158000000000001</v>
      </c>
      <c r="Q7" s="134">
        <f t="shared" si="16"/>
        <v>48.450000000000017</v>
      </c>
      <c r="S7" s="141">
        <f t="shared" si="1"/>
        <v>0.10001990445859874</v>
      </c>
      <c r="T7" s="141">
        <f t="shared" si="1"/>
        <v>9.999779861753183E-2</v>
      </c>
      <c r="V7" s="41">
        <f t="shared" si="2"/>
        <v>200.96</v>
      </c>
      <c r="W7" s="41">
        <f t="shared" si="2"/>
        <v>302.83999999999997</v>
      </c>
      <c r="Y7" s="41">
        <f t="shared" si="10"/>
        <v>241.15</v>
      </c>
      <c r="Z7" s="41">
        <f t="shared" si="10"/>
        <v>363.41</v>
      </c>
      <c r="AB7" s="182">
        <f t="shared" si="11"/>
        <v>241.1</v>
      </c>
      <c r="AC7" s="182">
        <f t="shared" si="11"/>
        <v>363.4</v>
      </c>
      <c r="AE7" s="40">
        <f t="shared" si="12"/>
        <v>200.91666666666666</v>
      </c>
      <c r="AF7" s="40">
        <f t="shared" si="12"/>
        <v>302.83333333333331</v>
      </c>
      <c r="AH7" s="40">
        <f t="shared" si="13"/>
        <v>5.0000000000011369E-2</v>
      </c>
      <c r="AI7" s="40">
        <f t="shared" si="13"/>
        <v>1.0000000000047748E-2</v>
      </c>
      <c r="AK7" s="130">
        <f t="shared" si="3"/>
        <v>12.06</v>
      </c>
      <c r="AL7" s="130">
        <f t="shared" si="3"/>
        <v>18.170000000000002</v>
      </c>
      <c r="AM7" s="40"/>
      <c r="AN7" s="40">
        <f t="shared" si="14"/>
        <v>80.334000000000003</v>
      </c>
      <c r="AO7" s="40">
        <f t="shared" si="14"/>
        <v>121.12599999999995</v>
      </c>
      <c r="AP7" s="40"/>
      <c r="AQ7" s="144">
        <f t="shared" si="4"/>
        <v>9.999999999999995E-2</v>
      </c>
      <c r="AR7" s="144">
        <f t="shared" si="4"/>
        <v>9.9999999999999978E-2</v>
      </c>
      <c r="AS7" s="40"/>
      <c r="AT7" s="146">
        <f t="shared" si="5"/>
        <v>0.39975119426751593</v>
      </c>
      <c r="AU7" s="146">
        <f t="shared" si="5"/>
        <v>0.39996697926297703</v>
      </c>
      <c r="AV7" s="40"/>
      <c r="AW7" s="76">
        <f t="shared" si="6"/>
        <v>0.5</v>
      </c>
      <c r="AX7" s="76">
        <f t="shared" si="6"/>
        <v>0.5</v>
      </c>
      <c r="AY7" s="42"/>
      <c r="AZ7" s="42">
        <f t="shared" si="7"/>
        <v>100.42999999999999</v>
      </c>
      <c r="BA7" s="42">
        <f t="shared" si="7"/>
        <v>151.40999999999994</v>
      </c>
      <c r="BB7" s="42"/>
      <c r="BC7" s="76">
        <f t="shared" si="8"/>
        <v>0.49975119426751585</v>
      </c>
      <c r="BD7" s="76">
        <f t="shared" si="8"/>
        <v>0.49996697926297701</v>
      </c>
      <c r="BE7" s="42"/>
    </row>
    <row r="8" spans="1:57" x14ac:dyDescent="0.25">
      <c r="A8" t="s">
        <v>136</v>
      </c>
      <c r="D8" s="162">
        <f>ROUND('AMT Gold Inc Cruise - 24 Feb26'!D8*(1+$B$4)*(1+D$1),2)</f>
        <v>104.65</v>
      </c>
      <c r="E8" s="162">
        <f>ROUND('AMT Gold Inc Cruise - 24 Feb26'!E8*(1+$B$4)*(1+E$1),2)</f>
        <v>155.97</v>
      </c>
      <c r="F8" s="81"/>
      <c r="G8" s="153">
        <f t="shared" si="0"/>
        <v>125.58</v>
      </c>
      <c r="H8" s="153">
        <f t="shared" si="0"/>
        <v>187.16399999999999</v>
      </c>
      <c r="J8" s="155">
        <f t="shared" si="15"/>
        <v>20.929999999999993</v>
      </c>
      <c r="K8" s="155">
        <f t="shared" si="15"/>
        <v>31.193999999999988</v>
      </c>
      <c r="M8" s="134">
        <f t="shared" si="9"/>
        <v>138.13800000000001</v>
      </c>
      <c r="N8" s="134">
        <f t="shared" si="9"/>
        <v>205.876</v>
      </c>
      <c r="P8" s="134">
        <f t="shared" si="16"/>
        <v>33.488</v>
      </c>
      <c r="Q8" s="134">
        <f t="shared" si="16"/>
        <v>49.906000000000006</v>
      </c>
      <c r="S8" s="141">
        <f t="shared" si="1"/>
        <v>0.10001592610288262</v>
      </c>
      <c r="T8" s="141">
        <f t="shared" si="1"/>
        <v>0.10001923446816696</v>
      </c>
      <c r="V8" s="41">
        <f t="shared" si="2"/>
        <v>209.3</v>
      </c>
      <c r="W8" s="41">
        <f t="shared" si="2"/>
        <v>311.94</v>
      </c>
      <c r="Y8" s="41">
        <f t="shared" si="10"/>
        <v>251.16</v>
      </c>
      <c r="Z8" s="41">
        <f t="shared" si="10"/>
        <v>374.33</v>
      </c>
      <c r="AB8" s="182">
        <f t="shared" si="11"/>
        <v>251.1</v>
      </c>
      <c r="AC8" s="182">
        <f t="shared" si="11"/>
        <v>374.3</v>
      </c>
      <c r="AE8" s="40">
        <f t="shared" si="12"/>
        <v>209.25</v>
      </c>
      <c r="AF8" s="40">
        <f t="shared" si="12"/>
        <v>311.91666666666669</v>
      </c>
      <c r="AH8" s="40">
        <f t="shared" si="13"/>
        <v>6.0000000000002274E-2</v>
      </c>
      <c r="AI8" s="40">
        <f t="shared" si="13"/>
        <v>2.9999999999972715E-2</v>
      </c>
      <c r="AK8" s="130">
        <f t="shared" si="3"/>
        <v>12.56</v>
      </c>
      <c r="AL8" s="130">
        <f t="shared" si="3"/>
        <v>18.72</v>
      </c>
      <c r="AM8" s="40"/>
      <c r="AN8" s="40">
        <f t="shared" si="14"/>
        <v>83.660000000000011</v>
      </c>
      <c r="AO8" s="40">
        <f t="shared" si="14"/>
        <v>124.74600000000004</v>
      </c>
      <c r="AP8" s="40"/>
      <c r="AQ8" s="144">
        <f t="shared" si="4"/>
        <v>9.9999999999999964E-2</v>
      </c>
      <c r="AR8" s="144">
        <f t="shared" si="4"/>
        <v>9.9999999999999964E-2</v>
      </c>
      <c r="AS8" s="40"/>
      <c r="AT8" s="146">
        <f t="shared" si="5"/>
        <v>0.39971333014811278</v>
      </c>
      <c r="AU8" s="146">
        <f t="shared" si="5"/>
        <v>0.39990382765916532</v>
      </c>
      <c r="AV8" s="40"/>
      <c r="AW8" s="76">
        <f t="shared" si="6"/>
        <v>0.5</v>
      </c>
      <c r="AX8" s="76">
        <f t="shared" si="6"/>
        <v>0.5</v>
      </c>
      <c r="AY8" s="42"/>
      <c r="AZ8" s="42">
        <f t="shared" si="7"/>
        <v>104.59</v>
      </c>
      <c r="BA8" s="42">
        <f t="shared" si="7"/>
        <v>155.94000000000003</v>
      </c>
      <c r="BB8" s="42"/>
      <c r="BC8" s="76">
        <f t="shared" si="8"/>
        <v>0.49971333014811276</v>
      </c>
      <c r="BD8" s="76">
        <f t="shared" si="8"/>
        <v>0.4999038276591653</v>
      </c>
      <c r="BE8" s="42"/>
    </row>
    <row r="9" spans="1:57" ht="15.75" thickBot="1" x14ac:dyDescent="0.3">
      <c r="A9"/>
      <c r="D9" s="162"/>
      <c r="E9" s="162"/>
      <c r="F9" s="41"/>
      <c r="G9" s="153"/>
      <c r="H9" s="153"/>
      <c r="I9" s="75"/>
      <c r="J9" s="156"/>
      <c r="K9" s="156"/>
      <c r="L9" s="75"/>
      <c r="M9" s="134"/>
      <c r="N9" s="134"/>
      <c r="P9" s="134"/>
      <c r="Q9" s="134"/>
      <c r="S9" s="140"/>
      <c r="T9" s="140"/>
      <c r="V9" s="40"/>
      <c r="W9" s="40"/>
      <c r="Y9" s="41"/>
      <c r="Z9" s="41"/>
      <c r="AK9" s="130"/>
      <c r="AL9" s="130"/>
      <c r="AM9" s="40"/>
      <c r="AN9" s="40"/>
      <c r="AO9" s="40"/>
      <c r="AP9" s="40"/>
      <c r="AQ9" s="145"/>
      <c r="AR9" s="145"/>
      <c r="AS9" s="40"/>
      <c r="AT9" s="146"/>
      <c r="AU9" s="146"/>
      <c r="AV9" s="40"/>
      <c r="AW9" s="76"/>
      <c r="AX9" s="76"/>
      <c r="AY9" s="42"/>
      <c r="AZ9" s="42"/>
      <c r="BA9" s="42"/>
      <c r="BB9" s="42"/>
      <c r="BC9" s="76"/>
      <c r="BD9" s="76"/>
      <c r="BE9" s="42"/>
    </row>
    <row r="10" spans="1:57" ht="15.75" thickBot="1" x14ac:dyDescent="0.3">
      <c r="A10" s="167" t="s">
        <v>137</v>
      </c>
      <c r="B10" s="163">
        <v>0.25</v>
      </c>
      <c r="D10" s="162"/>
      <c r="E10" s="162"/>
      <c r="F10" s="41"/>
      <c r="G10" s="153"/>
      <c r="H10" s="153"/>
      <c r="J10" s="154"/>
      <c r="K10" s="154"/>
      <c r="M10" s="134"/>
      <c r="N10" s="134"/>
      <c r="P10" s="134"/>
      <c r="Q10" s="134"/>
      <c r="S10" s="140"/>
      <c r="T10" s="140"/>
      <c r="V10" s="40"/>
      <c r="W10" s="40"/>
      <c r="Y10" s="41"/>
      <c r="Z10" s="41"/>
      <c r="AK10" s="130"/>
      <c r="AL10" s="130"/>
      <c r="AM10" s="40"/>
      <c r="AN10" s="40"/>
      <c r="AO10" s="40"/>
      <c r="AP10" s="40"/>
      <c r="AQ10" s="145"/>
      <c r="AR10" s="145"/>
      <c r="AS10" s="40"/>
      <c r="AT10" s="146"/>
      <c r="AU10" s="146"/>
      <c r="AV10" s="40"/>
      <c r="AW10" s="76"/>
      <c r="AX10" s="76"/>
      <c r="AY10" s="42"/>
      <c r="AZ10" s="42"/>
      <c r="BA10" s="42"/>
      <c r="BB10" s="42"/>
      <c r="BC10" s="76"/>
      <c r="BD10" s="76"/>
      <c r="BE10" s="42"/>
    </row>
    <row r="11" spans="1:57" x14ac:dyDescent="0.25">
      <c r="A11" t="s">
        <v>133</v>
      </c>
      <c r="D11" s="162">
        <f>ROUND('AMT Gold Inc Cruise - 24 Feb26'!D11*(1+$B$10)*(1+D$1),2)</f>
        <v>69.040000000000006</v>
      </c>
      <c r="E11" s="162">
        <f>ROUND('AMT Gold Inc Cruise - 24 Feb26'!E11*(1+$B$10)*(1+E$1),2)</f>
        <v>102.42</v>
      </c>
      <c r="F11" s="81"/>
      <c r="G11" s="153">
        <f t="shared" ref="G11:H14" si="17">D11*SUM(1+$G$1/$Y$1)</f>
        <v>82.847999999999999</v>
      </c>
      <c r="H11" s="153">
        <f t="shared" si="17"/>
        <v>122.904</v>
      </c>
      <c r="J11" s="155">
        <f t="shared" ref="J11:K14" si="18">G11-D11</f>
        <v>13.807999999999993</v>
      </c>
      <c r="K11" s="155">
        <f t="shared" si="18"/>
        <v>20.483999999999995</v>
      </c>
      <c r="M11" s="134">
        <f>ROUND(D11*(1+$G$1*2),2)*SUM(1+$M$1)</f>
        <v>91.135000000000005</v>
      </c>
      <c r="N11" s="134">
        <f>ROUND(E11*(1+$G$1*2),2)*SUM(1+$M$1)</f>
        <v>135.19000000000003</v>
      </c>
      <c r="P11" s="134">
        <f t="shared" ref="P11:Q14" si="19">M11-D11</f>
        <v>22.094999999999999</v>
      </c>
      <c r="Q11" s="134">
        <f t="shared" si="19"/>
        <v>32.770000000000024</v>
      </c>
      <c r="S11" s="141">
        <f t="shared" ref="S11:T14" si="20">AK11/G11</f>
        <v>0.10006276554654306</v>
      </c>
      <c r="T11" s="141">
        <f t="shared" si="20"/>
        <v>9.9996745427325381E-2</v>
      </c>
      <c r="V11" s="41">
        <f t="shared" ref="V11:W14" si="21">SUM(D11/(1-$Y$1))</f>
        <v>138.08000000000001</v>
      </c>
      <c r="W11" s="41">
        <f t="shared" si="21"/>
        <v>204.84</v>
      </c>
      <c r="Y11" s="41">
        <f>ROUND(D11/(1-$Y$1)*1.2,2)</f>
        <v>165.7</v>
      </c>
      <c r="Z11" s="41">
        <f>ROUND(E11/(1-$Y$1)*1.2,2)</f>
        <v>245.81</v>
      </c>
      <c r="AB11" s="182">
        <f t="shared" ref="AB11:AC14" si="22">ROUNDDOWN(D11/(1-$Y$1)*1.2,1)</f>
        <v>165.6</v>
      </c>
      <c r="AC11" s="182">
        <f t="shared" si="22"/>
        <v>245.8</v>
      </c>
      <c r="AE11" s="40">
        <f t="shared" ref="AE11:AF14" si="23">AB11/1.2</f>
        <v>138</v>
      </c>
      <c r="AF11" s="40">
        <f t="shared" si="23"/>
        <v>204.83333333333334</v>
      </c>
      <c r="AH11" s="40">
        <f t="shared" ref="AH11:AI14" si="24">Y11-AB11</f>
        <v>9.9999999999994316E-2</v>
      </c>
      <c r="AI11" s="40">
        <f t="shared" si="24"/>
        <v>9.9999999999909051E-3</v>
      </c>
      <c r="AK11" s="130">
        <f t="shared" ref="AK11:AL14" si="25">ROUND(M11*(1-(1/(1+$AL$1))),2)</f>
        <v>8.2899999999999991</v>
      </c>
      <c r="AL11" s="130">
        <f t="shared" si="25"/>
        <v>12.29</v>
      </c>
      <c r="AM11" s="40"/>
      <c r="AN11" s="40">
        <f t="shared" ref="AN11:AO14" si="26">SUM(V11-G11)-AH11</f>
        <v>55.132000000000019</v>
      </c>
      <c r="AO11" s="40">
        <f t="shared" si="26"/>
        <v>81.926000000000016</v>
      </c>
      <c r="AP11" s="40"/>
      <c r="AQ11" s="144">
        <f t="shared" ref="AQ11:AR14" si="27">(SUM(G11-D11)/D11*$Y$1)</f>
        <v>9.9999999999999936E-2</v>
      </c>
      <c r="AR11" s="144">
        <f t="shared" si="27"/>
        <v>9.9999999999999978E-2</v>
      </c>
      <c r="AS11" s="40"/>
      <c r="AT11" s="146">
        <f t="shared" ref="AT11:AU14" si="28">AN11/V11</f>
        <v>0.39927578215527243</v>
      </c>
      <c r="AU11" s="146">
        <f t="shared" si="28"/>
        <v>0.39995118140988095</v>
      </c>
      <c r="AV11" s="40"/>
      <c r="AW11" s="76">
        <f t="shared" ref="AW11:AX14" si="29">D11/V11</f>
        <v>0.5</v>
      </c>
      <c r="AX11" s="76">
        <f t="shared" si="29"/>
        <v>0.5</v>
      </c>
      <c r="AY11" s="42"/>
      <c r="AZ11" s="42">
        <f t="shared" ref="AZ11:BA14" si="30">J11+AN11</f>
        <v>68.940000000000012</v>
      </c>
      <c r="BA11" s="42">
        <f t="shared" si="30"/>
        <v>102.41000000000001</v>
      </c>
      <c r="BB11" s="42"/>
      <c r="BC11" s="76">
        <f t="shared" ref="BC11:BD14" si="31">AZ11/(D11/$Y$1)</f>
        <v>0.49927578215527235</v>
      </c>
      <c r="BD11" s="76">
        <f t="shared" si="31"/>
        <v>0.49995118140988093</v>
      </c>
      <c r="BE11" s="42"/>
    </row>
    <row r="12" spans="1:57" x14ac:dyDescent="0.25">
      <c r="A12" t="s">
        <v>134</v>
      </c>
      <c r="D12" s="162">
        <f>ROUND('AMT Gold Inc Cruise - 24 Feb26'!D12*(1+$B$10)*(1+D$1),2)</f>
        <v>102.35</v>
      </c>
      <c r="E12" s="162">
        <f>ROUND('AMT Gold Inc Cruise - 24 Feb26'!E12*(1+$B$10)*(1+E$1),2)</f>
        <v>150.96</v>
      </c>
      <c r="F12" s="81"/>
      <c r="G12" s="153">
        <f t="shared" si="17"/>
        <v>122.82</v>
      </c>
      <c r="H12" s="153">
        <f t="shared" si="17"/>
        <v>181.15200000000002</v>
      </c>
      <c r="J12" s="155">
        <f t="shared" si="18"/>
        <v>20.47</v>
      </c>
      <c r="K12" s="155">
        <f t="shared" si="18"/>
        <v>30.192000000000007</v>
      </c>
      <c r="M12" s="134">
        <f>ROUND(D12*(1+$G$1*2),2)*SUM(1+$M$1)</f>
        <v>135.102</v>
      </c>
      <c r="N12" s="134">
        <f t="shared" ref="M12:N14" si="32">ROUND(E12*(1+$G$1*2),2)*SUM(1+$M$1)</f>
        <v>199.26500000000001</v>
      </c>
      <c r="P12" s="134">
        <f t="shared" si="19"/>
        <v>32.75200000000001</v>
      </c>
      <c r="Q12" s="134">
        <f t="shared" si="19"/>
        <v>48.305000000000007</v>
      </c>
      <c r="S12" s="141">
        <f t="shared" si="20"/>
        <v>9.9983716007164963E-2</v>
      </c>
      <c r="T12" s="141">
        <f t="shared" si="20"/>
        <v>0.10002649708532062</v>
      </c>
      <c r="V12" s="41">
        <f t="shared" si="21"/>
        <v>204.7</v>
      </c>
      <c r="W12" s="41">
        <f t="shared" si="21"/>
        <v>301.92</v>
      </c>
      <c r="Y12" s="41">
        <f t="shared" ref="Y12:Z14" si="33">ROUND(D12/(1-$Y$1)*1.2,2)</f>
        <v>245.64</v>
      </c>
      <c r="Z12" s="41">
        <f t="shared" si="33"/>
        <v>362.3</v>
      </c>
      <c r="AB12" s="182">
        <f t="shared" si="22"/>
        <v>245.6</v>
      </c>
      <c r="AC12" s="182">
        <f t="shared" si="22"/>
        <v>362.3</v>
      </c>
      <c r="AE12" s="40">
        <f t="shared" si="23"/>
        <v>204.66666666666666</v>
      </c>
      <c r="AF12" s="40">
        <f t="shared" si="23"/>
        <v>301.91666666666669</v>
      </c>
      <c r="AH12" s="40">
        <f t="shared" si="24"/>
        <v>3.9999999999992042E-2</v>
      </c>
      <c r="AI12" s="40">
        <f t="shared" si="24"/>
        <v>0</v>
      </c>
      <c r="AK12" s="130">
        <f t="shared" si="25"/>
        <v>12.28</v>
      </c>
      <c r="AL12" s="130">
        <f t="shared" si="25"/>
        <v>18.12</v>
      </c>
      <c r="AM12" s="40"/>
      <c r="AN12" s="40">
        <f t="shared" si="26"/>
        <v>81.84</v>
      </c>
      <c r="AO12" s="40">
        <f t="shared" si="26"/>
        <v>120.768</v>
      </c>
      <c r="AP12" s="40"/>
      <c r="AQ12" s="144">
        <f t="shared" si="27"/>
        <v>0.1</v>
      </c>
      <c r="AR12" s="144">
        <f t="shared" si="27"/>
        <v>0.10000000000000002</v>
      </c>
      <c r="AS12" s="40"/>
      <c r="AT12" s="146">
        <f t="shared" si="28"/>
        <v>0.39980459208597952</v>
      </c>
      <c r="AU12" s="146">
        <f t="shared" si="28"/>
        <v>0.39999999999999997</v>
      </c>
      <c r="AV12" s="40"/>
      <c r="AW12" s="76">
        <f t="shared" si="29"/>
        <v>0.5</v>
      </c>
      <c r="AX12" s="76">
        <f t="shared" si="29"/>
        <v>0.5</v>
      </c>
      <c r="AY12" s="42"/>
      <c r="AZ12" s="42">
        <f t="shared" si="30"/>
        <v>102.31</v>
      </c>
      <c r="BA12" s="42">
        <f t="shared" si="30"/>
        <v>150.96</v>
      </c>
      <c r="BB12" s="42"/>
      <c r="BC12" s="76">
        <f t="shared" si="31"/>
        <v>0.49980459208597949</v>
      </c>
      <c r="BD12" s="76">
        <f t="shared" si="31"/>
        <v>0.5</v>
      </c>
      <c r="BE12" s="42"/>
    </row>
    <row r="13" spans="1:57" x14ac:dyDescent="0.25">
      <c r="A13" t="s">
        <v>135</v>
      </c>
      <c r="D13" s="162">
        <f>ROUND('AMT Gold Inc Cruise - 24 Feb26'!D13*(1+$B$10)*(1+D$1),2)</f>
        <v>114.18</v>
      </c>
      <c r="E13" s="162">
        <f>ROUND('AMT Gold Inc Cruise - 24 Feb26'!E13*(1+$B$10)*(1+E$1),2)</f>
        <v>172.06</v>
      </c>
      <c r="F13" s="81"/>
      <c r="G13" s="153">
        <f t="shared" si="17"/>
        <v>137.01599999999999</v>
      </c>
      <c r="H13" s="153">
        <f t="shared" si="17"/>
        <v>206.47200000000001</v>
      </c>
      <c r="J13" s="155">
        <f t="shared" si="18"/>
        <v>22.835999999999984</v>
      </c>
      <c r="K13" s="155">
        <f t="shared" si="18"/>
        <v>34.412000000000006</v>
      </c>
      <c r="M13" s="134">
        <f t="shared" si="32"/>
        <v>150.72200000000004</v>
      </c>
      <c r="N13" s="134">
        <f t="shared" si="32"/>
        <v>227.11700000000002</v>
      </c>
      <c r="P13" s="134">
        <f t="shared" si="19"/>
        <v>36.54200000000003</v>
      </c>
      <c r="Q13" s="134">
        <f t="shared" si="19"/>
        <v>55.057000000000016</v>
      </c>
      <c r="S13" s="141">
        <f t="shared" si="20"/>
        <v>9.9988322531675139E-2</v>
      </c>
      <c r="T13" s="141">
        <f t="shared" si="20"/>
        <v>0.10001356116083536</v>
      </c>
      <c r="V13" s="41">
        <f t="shared" si="21"/>
        <v>228.36</v>
      </c>
      <c r="W13" s="41">
        <f t="shared" si="21"/>
        <v>344.12</v>
      </c>
      <c r="Y13" s="41">
        <f t="shared" si="33"/>
        <v>274.02999999999997</v>
      </c>
      <c r="Z13" s="41">
        <f t="shared" si="33"/>
        <v>412.94</v>
      </c>
      <c r="AB13" s="182">
        <f t="shared" si="22"/>
        <v>274</v>
      </c>
      <c r="AC13" s="182">
        <f t="shared" si="22"/>
        <v>412.9</v>
      </c>
      <c r="AE13" s="40">
        <f t="shared" si="23"/>
        <v>228.33333333333334</v>
      </c>
      <c r="AF13" s="40">
        <f t="shared" si="23"/>
        <v>344.08333333333331</v>
      </c>
      <c r="AH13" s="40">
        <f t="shared" si="24"/>
        <v>2.9999999999972715E-2</v>
      </c>
      <c r="AI13" s="40">
        <f t="shared" si="24"/>
        <v>4.0000000000020464E-2</v>
      </c>
      <c r="AK13" s="130">
        <f t="shared" si="25"/>
        <v>13.7</v>
      </c>
      <c r="AL13" s="130">
        <f t="shared" si="25"/>
        <v>20.65</v>
      </c>
      <c r="AM13" s="40"/>
      <c r="AN13" s="40">
        <f t="shared" si="26"/>
        <v>91.31400000000005</v>
      </c>
      <c r="AO13" s="40">
        <f t="shared" si="26"/>
        <v>137.60799999999998</v>
      </c>
      <c r="AP13" s="40"/>
      <c r="AQ13" s="144">
        <f t="shared" si="27"/>
        <v>9.9999999999999922E-2</v>
      </c>
      <c r="AR13" s="144">
        <f t="shared" si="27"/>
        <v>0.10000000000000002</v>
      </c>
      <c r="AS13" s="40"/>
      <c r="AT13" s="146">
        <f t="shared" si="28"/>
        <v>0.39986862848134541</v>
      </c>
      <c r="AU13" s="146">
        <f t="shared" si="28"/>
        <v>0.39988376147855392</v>
      </c>
      <c r="AV13" s="40"/>
      <c r="AW13" s="76">
        <f t="shared" si="29"/>
        <v>0.5</v>
      </c>
      <c r="AX13" s="76">
        <f t="shared" si="29"/>
        <v>0.5</v>
      </c>
      <c r="AY13" s="42"/>
      <c r="AZ13" s="42">
        <f t="shared" si="30"/>
        <v>114.15000000000003</v>
      </c>
      <c r="BA13" s="42">
        <f t="shared" si="30"/>
        <v>172.01999999999998</v>
      </c>
      <c r="BB13" s="42"/>
      <c r="BC13" s="76">
        <f t="shared" si="31"/>
        <v>0.49986862848134539</v>
      </c>
      <c r="BD13" s="76">
        <f t="shared" si="31"/>
        <v>0.49988376147855396</v>
      </c>
      <c r="BE13" s="42"/>
    </row>
    <row r="14" spans="1:57" x14ac:dyDescent="0.25">
      <c r="A14" t="s">
        <v>136</v>
      </c>
      <c r="D14" s="162">
        <f>ROUND('AMT Gold Inc Cruise - 24 Feb26'!D14*(1+$B$10)*(1+D$1),2)</f>
        <v>118.92</v>
      </c>
      <c r="E14" s="162">
        <f>ROUND('AMT Gold Inc Cruise - 24 Feb26'!E14*(1+$B$10)*(1+E$1),2)</f>
        <v>177.23</v>
      </c>
      <c r="F14" s="81"/>
      <c r="G14" s="153">
        <f t="shared" si="17"/>
        <v>142.70400000000001</v>
      </c>
      <c r="H14" s="153">
        <f t="shared" si="17"/>
        <v>212.67599999999999</v>
      </c>
      <c r="J14" s="155">
        <f t="shared" si="18"/>
        <v>23.784000000000006</v>
      </c>
      <c r="K14" s="155">
        <f t="shared" si="18"/>
        <v>35.445999999999998</v>
      </c>
      <c r="M14" s="134">
        <f t="shared" si="32"/>
        <v>156.97</v>
      </c>
      <c r="N14" s="134">
        <f t="shared" si="32"/>
        <v>233.94800000000004</v>
      </c>
      <c r="P14" s="134">
        <f t="shared" si="19"/>
        <v>38.049999999999997</v>
      </c>
      <c r="Q14" s="134">
        <f t="shared" si="19"/>
        <v>56.718000000000046</v>
      </c>
      <c r="S14" s="141">
        <f t="shared" si="20"/>
        <v>9.9997196995178825E-2</v>
      </c>
      <c r="T14" s="141">
        <f t="shared" si="20"/>
        <v>0.10001128477120126</v>
      </c>
      <c r="V14" s="41">
        <f t="shared" si="21"/>
        <v>237.84</v>
      </c>
      <c r="W14" s="41">
        <f t="shared" si="21"/>
        <v>354.46</v>
      </c>
      <c r="Y14" s="41">
        <f t="shared" si="33"/>
        <v>285.41000000000003</v>
      </c>
      <c r="Z14" s="41">
        <f t="shared" si="33"/>
        <v>425.35</v>
      </c>
      <c r="AB14" s="182">
        <f t="shared" si="22"/>
        <v>285.39999999999998</v>
      </c>
      <c r="AC14" s="182">
        <f t="shared" si="22"/>
        <v>425.3</v>
      </c>
      <c r="AE14" s="40">
        <f t="shared" si="23"/>
        <v>237.83333333333331</v>
      </c>
      <c r="AF14" s="40">
        <f t="shared" si="23"/>
        <v>354.41666666666669</v>
      </c>
      <c r="AH14" s="40">
        <f t="shared" si="24"/>
        <v>1.0000000000047748E-2</v>
      </c>
      <c r="AI14" s="40">
        <f t="shared" si="24"/>
        <v>5.0000000000011369E-2</v>
      </c>
      <c r="AK14" s="130">
        <f t="shared" si="25"/>
        <v>14.27</v>
      </c>
      <c r="AL14" s="130">
        <f t="shared" si="25"/>
        <v>21.27</v>
      </c>
      <c r="AM14" s="40"/>
      <c r="AN14" s="40">
        <f t="shared" si="26"/>
        <v>95.125999999999948</v>
      </c>
      <c r="AO14" s="40">
        <f t="shared" si="26"/>
        <v>141.73399999999998</v>
      </c>
      <c r="AP14" s="40"/>
      <c r="AQ14" s="144">
        <f t="shared" si="27"/>
        <v>0.10000000000000002</v>
      </c>
      <c r="AR14" s="144">
        <f t="shared" si="27"/>
        <v>0.1</v>
      </c>
      <c r="AS14" s="40"/>
      <c r="AT14" s="146">
        <f t="shared" si="28"/>
        <v>0.39995795492768227</v>
      </c>
      <c r="AU14" s="146">
        <f t="shared" si="28"/>
        <v>0.39985894035998415</v>
      </c>
      <c r="AV14" s="40"/>
      <c r="AW14" s="76">
        <f t="shared" si="29"/>
        <v>0.5</v>
      </c>
      <c r="AX14" s="76">
        <f t="shared" si="29"/>
        <v>0.5</v>
      </c>
      <c r="AY14" s="42"/>
      <c r="AZ14" s="42">
        <f t="shared" si="30"/>
        <v>118.90999999999995</v>
      </c>
      <c r="BA14" s="42">
        <f t="shared" si="30"/>
        <v>177.17999999999998</v>
      </c>
      <c r="BB14" s="42"/>
      <c r="BC14" s="76">
        <f t="shared" si="31"/>
        <v>0.4999579549276823</v>
      </c>
      <c r="BD14" s="76">
        <f t="shared" si="31"/>
        <v>0.49985894035998418</v>
      </c>
      <c r="BE14" s="42"/>
    </row>
    <row r="15" spans="1:57" ht="15.75" thickBot="1" x14ac:dyDescent="0.3">
      <c r="A15"/>
      <c r="D15" s="150"/>
      <c r="E15" s="150"/>
      <c r="F15" s="41"/>
      <c r="G15" s="153"/>
      <c r="H15" s="153"/>
      <c r="J15" s="154"/>
      <c r="K15" s="154"/>
      <c r="M15" s="134"/>
      <c r="N15" s="134"/>
      <c r="P15" s="134"/>
      <c r="Q15" s="134"/>
      <c r="S15" s="140"/>
      <c r="T15" s="140"/>
      <c r="V15" s="40"/>
      <c r="W15" s="40"/>
      <c r="Y15" s="41"/>
      <c r="Z15" s="41"/>
      <c r="AK15" s="130"/>
      <c r="AL15" s="130"/>
      <c r="AM15" s="40"/>
      <c r="AN15" s="40"/>
      <c r="AO15" s="40"/>
      <c r="AP15" s="40"/>
      <c r="AQ15" s="145"/>
      <c r="AR15" s="145"/>
      <c r="AS15" s="40"/>
      <c r="AT15" s="146"/>
      <c r="AU15" s="146"/>
      <c r="AV15" s="40"/>
      <c r="AW15" s="76"/>
      <c r="AX15" s="76"/>
      <c r="AY15" s="42"/>
      <c r="AZ15" s="42"/>
      <c r="BA15" s="42"/>
      <c r="BB15" s="42"/>
      <c r="BC15" s="76"/>
      <c r="BD15" s="76"/>
      <c r="BE15" s="42"/>
    </row>
    <row r="16" spans="1:57" ht="15.75" thickBot="1" x14ac:dyDescent="0.3">
      <c r="A16" s="167" t="s">
        <v>138</v>
      </c>
      <c r="B16" s="163">
        <v>0.15</v>
      </c>
      <c r="D16" s="149"/>
      <c r="E16" s="149"/>
      <c r="F16" s="41"/>
      <c r="G16" s="153"/>
      <c r="H16" s="153"/>
      <c r="J16" s="154"/>
      <c r="K16" s="154"/>
      <c r="M16" s="134"/>
      <c r="N16" s="134"/>
      <c r="P16" s="134"/>
      <c r="Q16" s="134"/>
      <c r="S16" s="140"/>
      <c r="T16" s="140"/>
      <c r="V16" s="40"/>
      <c r="W16" s="40"/>
      <c r="Y16" s="41"/>
      <c r="Z16" s="41"/>
      <c r="AK16" s="130"/>
      <c r="AL16" s="130"/>
      <c r="AM16" s="40"/>
      <c r="AN16" s="40"/>
      <c r="AO16" s="40"/>
      <c r="AP16" s="40"/>
      <c r="AQ16" s="145"/>
      <c r="AR16" s="145"/>
      <c r="AS16" s="40"/>
      <c r="AT16" s="146"/>
      <c r="AU16" s="146"/>
      <c r="AV16" s="40"/>
      <c r="AW16" s="76"/>
      <c r="AX16" s="76"/>
      <c r="AY16" s="42"/>
      <c r="AZ16" s="42"/>
      <c r="BA16" s="42"/>
      <c r="BB16" s="42"/>
      <c r="BC16" s="76"/>
      <c r="BD16" s="76"/>
      <c r="BE16" s="42"/>
    </row>
    <row r="17" spans="1:57" x14ac:dyDescent="0.25">
      <c r="A17" t="s">
        <v>133</v>
      </c>
      <c r="D17" s="162">
        <f>ROUND('AMT Gold Inc Cruise - 24 Feb26'!D17*(1+$B$16)*(1+D$1),2)</f>
        <v>140.34</v>
      </c>
      <c r="E17" s="162">
        <f>ROUND('AMT Gold Inc Cruise - 24 Feb26'!E17*(1+$B$16)*(1+E$1),2)</f>
        <v>217.69</v>
      </c>
      <c r="F17" s="81"/>
      <c r="G17" s="153">
        <f t="shared" ref="G17:H20" si="34">D17*SUM(1+$G$1/$Y$1)</f>
        <v>168.40799999999999</v>
      </c>
      <c r="H17" s="153">
        <f t="shared" si="34"/>
        <v>261.22800000000001</v>
      </c>
      <c r="I17" s="83"/>
      <c r="J17" s="155">
        <f t="shared" ref="J17:K20" si="35">G17-D17</f>
        <v>28.067999999999984</v>
      </c>
      <c r="K17" s="155">
        <f t="shared" si="35"/>
        <v>43.538000000000011</v>
      </c>
      <c r="L17" s="83"/>
      <c r="M17" s="134">
        <f>ROUND(D17*(1+$G$1*2),2)*SUM(1+$M$1)</f>
        <v>185.251</v>
      </c>
      <c r="N17" s="134">
        <f>ROUND(E17*(1+$G$1*2),2)*SUM(1+$M$1)</f>
        <v>287.35300000000007</v>
      </c>
      <c r="P17" s="134">
        <f t="shared" ref="P17:Q20" si="36">M17-D17</f>
        <v>44.911000000000001</v>
      </c>
      <c r="Q17" s="134">
        <f t="shared" si="36"/>
        <v>69.663000000000068</v>
      </c>
      <c r="S17" s="141">
        <f t="shared" ref="S17:T20" si="37">AK17/G17</f>
        <v>9.9995249631846472E-2</v>
      </c>
      <c r="T17" s="141">
        <f t="shared" si="37"/>
        <v>9.9989281394031265E-2</v>
      </c>
      <c r="V17" s="41">
        <f t="shared" ref="V17:W20" si="38">SUM(D17/(1-$Y$1))</f>
        <v>280.68</v>
      </c>
      <c r="W17" s="41">
        <f t="shared" si="38"/>
        <v>435.38</v>
      </c>
      <c r="Y17" s="41">
        <f>ROUND(D17/(1-$Y$1)*1.2,2)</f>
        <v>336.82</v>
      </c>
      <c r="Z17" s="41">
        <f>ROUND(E17/(1-$Y$1)*1.2,2)</f>
        <v>522.46</v>
      </c>
      <c r="AB17" s="182">
        <f t="shared" ref="AB17:AC20" si="39">ROUNDDOWN(D17/(1-$Y$1)*1.2,1)</f>
        <v>336.8</v>
      </c>
      <c r="AC17" s="182">
        <f t="shared" si="39"/>
        <v>522.4</v>
      </c>
      <c r="AE17" s="40">
        <f t="shared" ref="AE17:AF20" si="40">AB17/1.2</f>
        <v>280.66666666666669</v>
      </c>
      <c r="AF17" s="40">
        <f t="shared" si="40"/>
        <v>435.33333333333331</v>
      </c>
      <c r="AH17" s="40">
        <f t="shared" ref="AH17:AI20" si="41">Y17-AB17</f>
        <v>1.999999999998181E-2</v>
      </c>
      <c r="AI17" s="40">
        <f t="shared" si="41"/>
        <v>6.0000000000059117E-2</v>
      </c>
      <c r="AK17" s="130">
        <f t="shared" ref="AK17:AL20" si="42">ROUND(M17*(1-(1/(1+$AL$1))),2)</f>
        <v>16.84</v>
      </c>
      <c r="AL17" s="130">
        <f t="shared" si="42"/>
        <v>26.12</v>
      </c>
      <c r="AM17" s="40"/>
      <c r="AN17" s="40">
        <f t="shared" ref="AN17:AO20" si="43">SUM(V17-G17)-AH17</f>
        <v>112.25200000000004</v>
      </c>
      <c r="AO17" s="40">
        <f t="shared" si="43"/>
        <v>174.09199999999993</v>
      </c>
      <c r="AP17" s="40"/>
      <c r="AQ17" s="144">
        <f t="shared" ref="AQ17:AR20" si="44">(SUM(G17-D17)/D17*$Y$1)</f>
        <v>9.9999999999999936E-2</v>
      </c>
      <c r="AR17" s="144">
        <f t="shared" si="44"/>
        <v>0.10000000000000002</v>
      </c>
      <c r="AS17" s="40"/>
      <c r="AT17" s="146">
        <f t="shared" ref="AT17:AU20" si="45">AN17/V17</f>
        <v>0.39992874447769716</v>
      </c>
      <c r="AU17" s="146">
        <f t="shared" si="45"/>
        <v>0.39986218935183043</v>
      </c>
      <c r="AV17" s="40"/>
      <c r="AW17" s="76">
        <f t="shared" ref="AW17:AX20" si="46">D17/V17</f>
        <v>0.5</v>
      </c>
      <c r="AX17" s="76">
        <f t="shared" si="46"/>
        <v>0.5</v>
      </c>
      <c r="AY17" s="42"/>
      <c r="AZ17" s="42">
        <f t="shared" ref="AZ17:BA20" si="47">J17+AN17</f>
        <v>140.32000000000002</v>
      </c>
      <c r="BA17" s="42">
        <f t="shared" si="47"/>
        <v>217.62999999999994</v>
      </c>
      <c r="BB17" s="42"/>
      <c r="BC17" s="76">
        <f t="shared" ref="BC17:BD20" si="48">AZ17/(D17/$Y$1)</f>
        <v>0.49992874447769708</v>
      </c>
      <c r="BD17" s="76">
        <f t="shared" si="48"/>
        <v>0.49986218935183047</v>
      </c>
      <c r="BE17" s="42"/>
    </row>
    <row r="18" spans="1:57" x14ac:dyDescent="0.25">
      <c r="A18" t="s">
        <v>134</v>
      </c>
      <c r="D18" s="162">
        <f>ROUND('AMT Gold Inc Cruise - 24 Feb26'!D18*(1+$B$16)*(1+D$1),2)</f>
        <v>209.38</v>
      </c>
      <c r="E18" s="162">
        <f>ROUND('AMT Gold Inc Cruise - 24 Feb26'!E18*(1+$B$16)*(1+E$1),2)</f>
        <v>324.08</v>
      </c>
      <c r="F18" s="81"/>
      <c r="G18" s="153">
        <f t="shared" si="34"/>
        <v>251.25599999999997</v>
      </c>
      <c r="H18" s="153">
        <f t="shared" si="34"/>
        <v>388.89599999999996</v>
      </c>
      <c r="I18" s="83"/>
      <c r="J18" s="155">
        <f t="shared" si="35"/>
        <v>41.875999999999976</v>
      </c>
      <c r="K18" s="155">
        <f t="shared" si="35"/>
        <v>64.815999999999974</v>
      </c>
      <c r="L18" s="83"/>
      <c r="M18" s="134">
        <f t="shared" ref="M18:N20" si="49">ROUND(D18*(1+$G$1*2),2)*SUM(1+$M$1)</f>
        <v>276.38600000000002</v>
      </c>
      <c r="N18" s="134">
        <f t="shared" si="49"/>
        <v>427.79</v>
      </c>
      <c r="P18" s="134">
        <f t="shared" si="36"/>
        <v>67.006000000000029</v>
      </c>
      <c r="Q18" s="134">
        <f t="shared" si="36"/>
        <v>103.71000000000004</v>
      </c>
      <c r="S18" s="141">
        <f t="shared" si="37"/>
        <v>0.10001751201961347</v>
      </c>
      <c r="T18" s="141">
        <f t="shared" si="37"/>
        <v>0.10000102855262076</v>
      </c>
      <c r="V18" s="41">
        <f t="shared" si="38"/>
        <v>418.76</v>
      </c>
      <c r="W18" s="41">
        <f t="shared" si="38"/>
        <v>648.16</v>
      </c>
      <c r="Y18" s="41">
        <f t="shared" ref="Y18:Z20" si="50">ROUND(D18/(1-$Y$1)*1.2,2)</f>
        <v>502.51</v>
      </c>
      <c r="Z18" s="41">
        <f t="shared" si="50"/>
        <v>777.79</v>
      </c>
      <c r="AB18" s="182">
        <f t="shared" si="39"/>
        <v>502.5</v>
      </c>
      <c r="AC18" s="182">
        <f t="shared" si="39"/>
        <v>777.7</v>
      </c>
      <c r="AE18" s="40">
        <f t="shared" si="40"/>
        <v>418.75</v>
      </c>
      <c r="AF18" s="40">
        <f t="shared" si="40"/>
        <v>648.08333333333337</v>
      </c>
      <c r="AH18" s="40">
        <f t="shared" si="41"/>
        <v>9.9999999999909051E-3</v>
      </c>
      <c r="AI18" s="40">
        <f t="shared" si="41"/>
        <v>8.9999999999918145E-2</v>
      </c>
      <c r="AK18" s="130">
        <f t="shared" si="42"/>
        <v>25.13</v>
      </c>
      <c r="AL18" s="130">
        <f t="shared" si="42"/>
        <v>38.89</v>
      </c>
      <c r="AM18" s="40"/>
      <c r="AN18" s="40">
        <f t="shared" si="43"/>
        <v>167.49400000000003</v>
      </c>
      <c r="AO18" s="40">
        <f t="shared" si="43"/>
        <v>259.17400000000009</v>
      </c>
      <c r="AP18" s="40"/>
      <c r="AQ18" s="144">
        <f t="shared" si="44"/>
        <v>9.999999999999995E-2</v>
      </c>
      <c r="AR18" s="144">
        <f t="shared" si="44"/>
        <v>9.9999999999999964E-2</v>
      </c>
      <c r="AS18" s="40"/>
      <c r="AT18" s="146">
        <f t="shared" si="45"/>
        <v>0.39997611997325444</v>
      </c>
      <c r="AU18" s="146">
        <f t="shared" si="45"/>
        <v>0.39986114539619866</v>
      </c>
      <c r="AV18" s="40"/>
      <c r="AW18" s="76">
        <f t="shared" si="46"/>
        <v>0.5</v>
      </c>
      <c r="AX18" s="76">
        <f t="shared" si="46"/>
        <v>0.5</v>
      </c>
      <c r="AY18" s="42"/>
      <c r="AZ18" s="42">
        <f t="shared" si="47"/>
        <v>209.37</v>
      </c>
      <c r="BA18" s="42">
        <f t="shared" si="47"/>
        <v>323.99000000000007</v>
      </c>
      <c r="BB18" s="42"/>
      <c r="BC18" s="76">
        <f t="shared" si="48"/>
        <v>0.49997611997325442</v>
      </c>
      <c r="BD18" s="76">
        <f t="shared" si="48"/>
        <v>0.49986114539619858</v>
      </c>
      <c r="BE18" s="42"/>
    </row>
    <row r="19" spans="1:57" x14ac:dyDescent="0.25">
      <c r="A19" t="s">
        <v>135</v>
      </c>
      <c r="D19" s="162">
        <f>ROUND('AMT Gold Inc Cruise - 24 Feb26'!D19*(1+$B$16)*(1+D$1),2)</f>
        <v>223.57</v>
      </c>
      <c r="E19" s="162">
        <f>ROUND('AMT Gold Inc Cruise - 24 Feb26'!E19*(1+$B$16)*(1+E$1),2)</f>
        <v>352.32</v>
      </c>
      <c r="F19" s="81"/>
      <c r="G19" s="153">
        <f t="shared" si="34"/>
        <v>268.28399999999999</v>
      </c>
      <c r="H19" s="153">
        <f t="shared" si="34"/>
        <v>422.78399999999999</v>
      </c>
      <c r="J19" s="155">
        <f t="shared" si="35"/>
        <v>44.713999999999999</v>
      </c>
      <c r="K19" s="155">
        <f t="shared" si="35"/>
        <v>70.463999999999999</v>
      </c>
      <c r="M19" s="134">
        <f t="shared" si="49"/>
        <v>295.108</v>
      </c>
      <c r="N19" s="134">
        <f t="shared" si="49"/>
        <v>465.05799999999999</v>
      </c>
      <c r="P19" s="134">
        <f t="shared" si="36"/>
        <v>71.538000000000011</v>
      </c>
      <c r="Q19" s="134">
        <f t="shared" si="36"/>
        <v>112.738</v>
      </c>
      <c r="S19" s="141">
        <f t="shared" si="37"/>
        <v>0.10000596382937484</v>
      </c>
      <c r="T19" s="141">
        <f t="shared" si="37"/>
        <v>0.10000378443838935</v>
      </c>
      <c r="V19" s="41">
        <f t="shared" si="38"/>
        <v>447.14</v>
      </c>
      <c r="W19" s="41">
        <f t="shared" si="38"/>
        <v>704.64</v>
      </c>
      <c r="Y19" s="41">
        <f t="shared" si="50"/>
        <v>536.57000000000005</v>
      </c>
      <c r="Z19" s="41">
        <f t="shared" si="50"/>
        <v>845.57</v>
      </c>
      <c r="AB19" s="182">
        <f t="shared" si="39"/>
        <v>536.5</v>
      </c>
      <c r="AC19" s="182">
        <f t="shared" si="39"/>
        <v>845.5</v>
      </c>
      <c r="AE19" s="40">
        <f t="shared" si="40"/>
        <v>447.08333333333337</v>
      </c>
      <c r="AF19" s="40">
        <f t="shared" si="40"/>
        <v>704.58333333333337</v>
      </c>
      <c r="AH19" s="40">
        <f t="shared" si="41"/>
        <v>7.0000000000050022E-2</v>
      </c>
      <c r="AI19" s="40">
        <f t="shared" si="41"/>
        <v>7.0000000000050022E-2</v>
      </c>
      <c r="AK19" s="130">
        <f t="shared" si="42"/>
        <v>26.83</v>
      </c>
      <c r="AL19" s="130">
        <f t="shared" si="42"/>
        <v>42.28</v>
      </c>
      <c r="AM19" s="40"/>
      <c r="AN19" s="40">
        <f t="shared" si="43"/>
        <v>178.78599999999994</v>
      </c>
      <c r="AO19" s="40">
        <f t="shared" si="43"/>
        <v>281.78599999999994</v>
      </c>
      <c r="AP19" s="40"/>
      <c r="AQ19" s="144">
        <f t="shared" si="44"/>
        <v>0.1</v>
      </c>
      <c r="AR19" s="144">
        <f t="shared" si="44"/>
        <v>0.1</v>
      </c>
      <c r="AS19" s="40"/>
      <c r="AT19" s="146">
        <f t="shared" si="45"/>
        <v>0.39984344947891032</v>
      </c>
      <c r="AU19" s="146">
        <f t="shared" si="45"/>
        <v>0.39990065849227968</v>
      </c>
      <c r="AV19" s="40"/>
      <c r="AW19" s="76">
        <f t="shared" si="46"/>
        <v>0.5</v>
      </c>
      <c r="AX19" s="76">
        <f t="shared" si="46"/>
        <v>0.5</v>
      </c>
      <c r="AY19" s="42"/>
      <c r="AZ19" s="42">
        <f t="shared" si="47"/>
        <v>223.49999999999994</v>
      </c>
      <c r="BA19" s="42">
        <f t="shared" si="47"/>
        <v>352.24999999999994</v>
      </c>
      <c r="BB19" s="42"/>
      <c r="BC19" s="76">
        <f t="shared" si="48"/>
        <v>0.4998434494789103</v>
      </c>
      <c r="BD19" s="76">
        <f t="shared" si="48"/>
        <v>0.49990065849227966</v>
      </c>
      <c r="BE19" s="42"/>
    </row>
    <row r="20" spans="1:57" x14ac:dyDescent="0.25">
      <c r="A20" t="s">
        <v>136</v>
      </c>
      <c r="D20" s="162">
        <f>ROUND('AMT Gold Inc Cruise - 24 Feb26'!D20*(1+$B$16)*(1+D$1),2)</f>
        <v>242.5</v>
      </c>
      <c r="E20" s="162">
        <f>ROUND('AMT Gold Inc Cruise - 24 Feb26'!E20*(1+$B$16)*(1+E$1),2)</f>
        <v>377.43</v>
      </c>
      <c r="F20" s="81"/>
      <c r="G20" s="153">
        <f t="shared" si="34"/>
        <v>291</v>
      </c>
      <c r="H20" s="153">
        <f t="shared" si="34"/>
        <v>452.916</v>
      </c>
      <c r="J20" s="155">
        <f t="shared" si="35"/>
        <v>48.5</v>
      </c>
      <c r="K20" s="155">
        <f t="shared" si="35"/>
        <v>75.48599999999999</v>
      </c>
      <c r="M20" s="134">
        <f t="shared" si="49"/>
        <v>320.10000000000002</v>
      </c>
      <c r="N20" s="134">
        <f t="shared" si="49"/>
        <v>498.21200000000005</v>
      </c>
      <c r="P20" s="134">
        <f t="shared" si="36"/>
        <v>77.600000000000023</v>
      </c>
      <c r="Q20" s="134">
        <f t="shared" si="36"/>
        <v>120.78200000000004</v>
      </c>
      <c r="S20" s="141">
        <f t="shared" si="37"/>
        <v>0.1</v>
      </c>
      <c r="T20" s="141">
        <f t="shared" si="37"/>
        <v>9.9996467336106468E-2</v>
      </c>
      <c r="V20" s="41">
        <f t="shared" si="38"/>
        <v>485</v>
      </c>
      <c r="W20" s="41">
        <f t="shared" si="38"/>
        <v>754.86</v>
      </c>
      <c r="Y20" s="41">
        <f t="shared" si="50"/>
        <v>582</v>
      </c>
      <c r="Z20" s="41">
        <f t="shared" si="50"/>
        <v>905.83</v>
      </c>
      <c r="AB20" s="182">
        <f t="shared" si="39"/>
        <v>582</v>
      </c>
      <c r="AC20" s="182">
        <f t="shared" si="39"/>
        <v>905.8</v>
      </c>
      <c r="AE20" s="40">
        <f t="shared" si="40"/>
        <v>485</v>
      </c>
      <c r="AF20" s="40">
        <f t="shared" si="40"/>
        <v>754.83333333333337</v>
      </c>
      <c r="AH20" s="40">
        <f t="shared" si="41"/>
        <v>0</v>
      </c>
      <c r="AI20" s="40">
        <f t="shared" si="41"/>
        <v>3.0000000000086402E-2</v>
      </c>
      <c r="AK20" s="130">
        <f t="shared" si="42"/>
        <v>29.1</v>
      </c>
      <c r="AL20" s="130">
        <f t="shared" si="42"/>
        <v>45.29</v>
      </c>
      <c r="AM20" s="40"/>
      <c r="AN20" s="40">
        <f t="shared" si="43"/>
        <v>194</v>
      </c>
      <c r="AO20" s="40">
        <f t="shared" si="43"/>
        <v>301.91399999999993</v>
      </c>
      <c r="AP20" s="40"/>
      <c r="AQ20" s="144">
        <f t="shared" si="44"/>
        <v>0.1</v>
      </c>
      <c r="AR20" s="144">
        <f t="shared" si="44"/>
        <v>9.9999999999999992E-2</v>
      </c>
      <c r="AS20" s="40"/>
      <c r="AT20" s="146">
        <f t="shared" si="45"/>
        <v>0.4</v>
      </c>
      <c r="AU20" s="146">
        <f t="shared" si="45"/>
        <v>0.39996025753119774</v>
      </c>
      <c r="AV20" s="40"/>
      <c r="AW20" s="76">
        <f t="shared" si="46"/>
        <v>0.5</v>
      </c>
      <c r="AX20" s="76">
        <f t="shared" si="46"/>
        <v>0.5</v>
      </c>
      <c r="AY20" s="42"/>
      <c r="AZ20" s="42">
        <f t="shared" si="47"/>
        <v>242.5</v>
      </c>
      <c r="BA20" s="42">
        <f t="shared" si="47"/>
        <v>377.39999999999992</v>
      </c>
      <c r="BB20" s="42"/>
      <c r="BC20" s="76">
        <f t="shared" si="48"/>
        <v>0.5</v>
      </c>
      <c r="BD20" s="76">
        <f t="shared" si="48"/>
        <v>0.49996025753119772</v>
      </c>
      <c r="BE20" s="42"/>
    </row>
    <row r="21" spans="1:57" x14ac:dyDescent="0.25">
      <c r="C21" s="104"/>
      <c r="D21" s="104"/>
      <c r="H21" s="40"/>
      <c r="I21" s="75"/>
      <c r="J21" s="75"/>
      <c r="K21" s="75"/>
      <c r="L21" s="75"/>
      <c r="V21" s="40"/>
      <c r="X21" s="41"/>
      <c r="Y21" s="40"/>
      <c r="Z21" s="40"/>
      <c r="AK21" s="76"/>
      <c r="AL21" s="76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76"/>
      <c r="AX21" s="76"/>
      <c r="AY21" s="42"/>
      <c r="AZ21" s="42"/>
      <c r="BA21" s="42"/>
      <c r="BB21" s="42"/>
      <c r="BC21" s="76"/>
      <c r="BD21" s="76"/>
      <c r="BE21" s="40"/>
    </row>
    <row r="22" spans="1:57" x14ac:dyDescent="0.25">
      <c r="A22" s="4" t="s">
        <v>139</v>
      </c>
      <c r="X22" s="41"/>
      <c r="Y22" s="40"/>
      <c r="Z22" s="40"/>
      <c r="AK22" s="76"/>
      <c r="AL22" s="76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76"/>
      <c r="AX22" s="76"/>
      <c r="AY22" s="42"/>
      <c r="AZ22" s="42"/>
      <c r="BA22" s="42"/>
      <c r="BB22" s="42"/>
      <c r="BC22" s="76"/>
      <c r="BD22" s="76"/>
      <c r="BE22" s="40"/>
    </row>
    <row r="23" spans="1:57" x14ac:dyDescent="0.25">
      <c r="A23" s="53"/>
      <c r="X23" s="41"/>
      <c r="Y23" s="40"/>
      <c r="Z23" s="40"/>
      <c r="AK23" s="76"/>
      <c r="AL23" s="76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76"/>
      <c r="AX23" s="76"/>
      <c r="AY23" s="42"/>
      <c r="AZ23" s="42"/>
      <c r="BA23" s="42"/>
      <c r="BB23" s="42"/>
      <c r="BC23" s="76"/>
      <c r="BD23" s="76"/>
      <c r="BE23" s="40"/>
    </row>
    <row r="24" spans="1:57" x14ac:dyDescent="0.25">
      <c r="A24" s="100" t="s">
        <v>132</v>
      </c>
      <c r="B24" s="52" t="s">
        <v>140</v>
      </c>
      <c r="D24" s="202" t="s">
        <v>141</v>
      </c>
      <c r="E24" s="202"/>
      <c r="F24" s="202"/>
      <c r="G24" s="202"/>
      <c r="H24" s="202"/>
    </row>
    <row r="25" spans="1:57" x14ac:dyDescent="0.25">
      <c r="A25" s="100" t="s">
        <v>137</v>
      </c>
      <c r="B25" s="52" t="s">
        <v>140</v>
      </c>
      <c r="F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</row>
    <row r="26" spans="1:57" x14ac:dyDescent="0.25">
      <c r="A26" s="100" t="s">
        <v>142</v>
      </c>
      <c r="B26" s="52" t="s">
        <v>140</v>
      </c>
      <c r="F26" s="40"/>
      <c r="G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</row>
    <row r="27" spans="1:57" x14ac:dyDescent="0.25">
      <c r="F27" s="40"/>
      <c r="G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</row>
    <row r="28" spans="1:57" x14ac:dyDescent="0.25">
      <c r="A28" s="99" t="s">
        <v>143</v>
      </c>
      <c r="B28" s="52" t="s">
        <v>144</v>
      </c>
      <c r="F28" s="40"/>
      <c r="G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</row>
    <row r="29" spans="1:57" x14ac:dyDescent="0.25">
      <c r="G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</row>
    <row r="30" spans="1:57" ht="45" customHeight="1" x14ac:dyDescent="0.25">
      <c r="A30" s="159" t="s">
        <v>145</v>
      </c>
      <c r="B30" s="246" t="s">
        <v>146</v>
      </c>
      <c r="C30" s="246"/>
      <c r="D30" s="246"/>
      <c r="E30" s="246"/>
      <c r="F30" s="99"/>
      <c r="AA30" s="40"/>
      <c r="AB30" s="40"/>
      <c r="AC30" s="40"/>
      <c r="AD30" s="40"/>
      <c r="AE30" s="40"/>
      <c r="AF30" s="40"/>
      <c r="AG30" s="40"/>
      <c r="AH30" s="40"/>
      <c r="AI30" s="40"/>
      <c r="AJ30" s="40"/>
    </row>
    <row r="31" spans="1:57" ht="45" customHeight="1" x14ac:dyDescent="0.25">
      <c r="A31" s="159" t="s">
        <v>147</v>
      </c>
      <c r="B31" s="246" t="s">
        <v>148</v>
      </c>
      <c r="C31" s="246"/>
      <c r="D31" s="246"/>
      <c r="E31" s="246"/>
      <c r="F31" s="246"/>
      <c r="AA31" s="40"/>
      <c r="AB31" s="40"/>
      <c r="AC31" s="40"/>
      <c r="AD31" s="40"/>
      <c r="AE31" s="40"/>
      <c r="AF31" s="40"/>
      <c r="AG31" s="40"/>
      <c r="AH31" s="40"/>
      <c r="AI31" s="40"/>
      <c r="AJ31" s="40"/>
    </row>
    <row r="32" spans="1:57" x14ac:dyDescent="0.25"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</row>
    <row r="33" spans="1:57" x14ac:dyDescent="0.25">
      <c r="A33" s="100" t="s">
        <v>149</v>
      </c>
      <c r="B33" s="101" t="s">
        <v>150</v>
      </c>
      <c r="C33" s="52"/>
      <c r="AA33" s="40"/>
      <c r="AB33" s="40"/>
      <c r="AC33" s="40"/>
      <c r="AD33" s="40"/>
      <c r="AE33" s="40"/>
      <c r="AF33" s="40"/>
      <c r="AG33" s="40"/>
      <c r="AH33" s="40"/>
      <c r="AI33" s="40"/>
      <c r="AJ33" s="40"/>
    </row>
    <row r="34" spans="1:57" x14ac:dyDescent="0.25">
      <c r="A34" s="100" t="s">
        <v>151</v>
      </c>
      <c r="B34" s="101" t="s">
        <v>152</v>
      </c>
      <c r="C34" s="52"/>
    </row>
    <row r="35" spans="1:57" x14ac:dyDescent="0.25">
      <c r="A35" s="100" t="s">
        <v>153</v>
      </c>
      <c r="B35" s="101" t="s">
        <v>154</v>
      </c>
      <c r="C35" s="52"/>
    </row>
    <row r="36" spans="1:57" s="96" customFormat="1" ht="45" customHeight="1" x14ac:dyDescent="0.25">
      <c r="D36" s="244" t="s">
        <v>128</v>
      </c>
      <c r="E36" s="244"/>
      <c r="F36" s="95"/>
      <c r="G36" s="245" t="s">
        <v>3</v>
      </c>
      <c r="H36" s="245"/>
      <c r="I36" s="18"/>
      <c r="J36" s="245" t="s">
        <v>4</v>
      </c>
      <c r="K36" s="245"/>
      <c r="L36" s="18"/>
      <c r="M36" s="219" t="s">
        <v>5</v>
      </c>
      <c r="N36" s="219"/>
      <c r="O36" s="18"/>
      <c r="P36" s="219" t="s">
        <v>6</v>
      </c>
      <c r="Q36" s="219"/>
      <c r="R36" s="18"/>
      <c r="S36" s="219" t="s">
        <v>7</v>
      </c>
      <c r="T36" s="219"/>
      <c r="U36" s="18"/>
      <c r="V36" s="214" t="s">
        <v>8</v>
      </c>
      <c r="W36" s="214"/>
      <c r="X36" s="52"/>
      <c r="Y36" s="211" t="s">
        <v>9</v>
      </c>
      <c r="Z36" s="211"/>
      <c r="AA36" s="1"/>
      <c r="AB36" s="215" t="s">
        <v>10</v>
      </c>
      <c r="AC36" s="215"/>
      <c r="AD36" s="1"/>
      <c r="AE36" s="211" t="s">
        <v>11</v>
      </c>
      <c r="AF36" s="211"/>
      <c r="AG36" s="1"/>
      <c r="AH36" s="211" t="s">
        <v>12</v>
      </c>
      <c r="AI36" s="211"/>
      <c r="AJ36" s="1"/>
      <c r="AK36" s="211" t="s">
        <v>13</v>
      </c>
      <c r="AL36" s="211"/>
      <c r="AM36" s="1"/>
      <c r="AN36" s="211" t="s">
        <v>14</v>
      </c>
      <c r="AO36" s="211"/>
      <c r="AP36" s="1"/>
      <c r="AQ36" s="212" t="s">
        <v>15</v>
      </c>
      <c r="AR36" s="212"/>
      <c r="AS36" s="1"/>
      <c r="AT36" s="211" t="s">
        <v>16</v>
      </c>
      <c r="AU36" s="211"/>
      <c r="AV36" s="1"/>
      <c r="AW36" s="213" t="s">
        <v>17</v>
      </c>
      <c r="AX36" s="213"/>
      <c r="AY36" s="1"/>
      <c r="AZ36" s="213" t="s">
        <v>18</v>
      </c>
      <c r="BA36" s="213"/>
      <c r="BB36" s="1"/>
      <c r="BC36" s="213" t="s">
        <v>129</v>
      </c>
      <c r="BD36" s="213"/>
      <c r="BE36" s="1"/>
    </row>
    <row r="37" spans="1:57" s="96" customFormat="1" ht="108.6" customHeight="1" x14ac:dyDescent="0.25">
      <c r="D37" s="195" t="s">
        <v>130</v>
      </c>
      <c r="E37" s="147" t="s">
        <v>131</v>
      </c>
      <c r="F37" s="35"/>
      <c r="G37" s="151" t="s">
        <v>130</v>
      </c>
      <c r="H37" s="152" t="s">
        <v>131</v>
      </c>
      <c r="I37" s="52"/>
      <c r="J37" s="151" t="s">
        <v>130</v>
      </c>
      <c r="K37" s="152" t="s">
        <v>131</v>
      </c>
      <c r="L37" s="52"/>
      <c r="M37" s="132" t="s">
        <v>130</v>
      </c>
      <c r="N37" s="133" t="s">
        <v>131</v>
      </c>
      <c r="O37" s="52"/>
      <c r="P37" s="132" t="s">
        <v>130</v>
      </c>
      <c r="Q37" s="133" t="s">
        <v>131</v>
      </c>
      <c r="R37" s="52"/>
      <c r="S37" s="132" t="s">
        <v>130</v>
      </c>
      <c r="T37" s="133" t="s">
        <v>131</v>
      </c>
      <c r="U37" s="52"/>
      <c r="V37" s="96" t="s">
        <v>130</v>
      </c>
      <c r="W37" s="95" t="s">
        <v>131</v>
      </c>
      <c r="X37" s="52"/>
      <c r="Y37" s="96" t="s">
        <v>130</v>
      </c>
      <c r="Z37" s="95" t="s">
        <v>131</v>
      </c>
      <c r="AA37" s="52"/>
      <c r="AB37" s="96" t="s">
        <v>130</v>
      </c>
      <c r="AC37" s="95" t="s">
        <v>131</v>
      </c>
      <c r="AD37" s="52"/>
      <c r="AE37" s="96" t="s">
        <v>130</v>
      </c>
      <c r="AF37" s="95" t="s">
        <v>131</v>
      </c>
      <c r="AG37" s="34"/>
      <c r="AH37" s="96" t="s">
        <v>130</v>
      </c>
      <c r="AI37" s="95" t="s">
        <v>131</v>
      </c>
      <c r="AJ37" s="52"/>
      <c r="AK37" s="128" t="s">
        <v>130</v>
      </c>
      <c r="AL37" s="129" t="s">
        <v>131</v>
      </c>
      <c r="AM37" s="52"/>
      <c r="AN37" s="96" t="s">
        <v>130</v>
      </c>
      <c r="AO37" s="95" t="s">
        <v>131</v>
      </c>
      <c r="AP37" s="52"/>
      <c r="AQ37" s="196" t="s">
        <v>130</v>
      </c>
      <c r="AR37" s="142" t="s">
        <v>131</v>
      </c>
      <c r="AS37" s="52"/>
      <c r="AT37" s="197" t="s">
        <v>130</v>
      </c>
      <c r="AU37" s="129" t="s">
        <v>131</v>
      </c>
      <c r="AV37" s="52"/>
      <c r="AW37" s="96" t="s">
        <v>130</v>
      </c>
      <c r="AX37" s="95" t="s">
        <v>131</v>
      </c>
      <c r="AY37" s="52"/>
      <c r="AZ37" s="96" t="s">
        <v>130</v>
      </c>
      <c r="BA37" s="95" t="s">
        <v>131</v>
      </c>
      <c r="BB37" s="52"/>
      <c r="BC37" s="139" t="s">
        <v>130</v>
      </c>
      <c r="BD37" s="95" t="s">
        <v>131</v>
      </c>
      <c r="BE37" s="1"/>
    </row>
    <row r="38" spans="1:57" ht="47.45" customHeight="1" x14ac:dyDescent="0.25">
      <c r="B38" s="45"/>
      <c r="D38" s="149"/>
      <c r="E38" s="149"/>
      <c r="F38" s="81"/>
      <c r="G38" s="153"/>
      <c r="H38" s="153"/>
      <c r="J38" s="155"/>
      <c r="K38" s="155"/>
      <c r="L38" s="41"/>
      <c r="M38" s="161"/>
      <c r="N38" s="161"/>
      <c r="P38" s="134"/>
      <c r="Q38" s="134"/>
      <c r="S38" s="141"/>
      <c r="T38" s="141"/>
      <c r="V38" s="41"/>
      <c r="W38" s="41"/>
      <c r="Y38" s="41"/>
      <c r="Z38" s="41"/>
      <c r="AB38" s="182"/>
      <c r="AC38" s="182"/>
      <c r="AE38" s="40"/>
      <c r="AF38" s="40"/>
      <c r="AH38" s="40"/>
      <c r="AI38" s="40"/>
      <c r="AK38" s="130"/>
      <c r="AL38" s="130"/>
      <c r="AM38" s="40"/>
      <c r="AN38" s="40"/>
      <c r="AO38" s="40"/>
      <c r="AP38" s="40"/>
      <c r="AQ38" s="144"/>
      <c r="AR38" s="144"/>
      <c r="AS38" s="40"/>
      <c r="AT38" s="146"/>
      <c r="AU38" s="146"/>
      <c r="AV38" s="40"/>
      <c r="AW38" s="76"/>
      <c r="AX38" s="76"/>
      <c r="AY38" s="42"/>
      <c r="AZ38" s="42"/>
      <c r="BA38" s="42"/>
      <c r="BB38" s="42"/>
      <c r="BC38" s="76"/>
      <c r="BD38" s="76"/>
      <c r="BE38" s="42"/>
    </row>
    <row r="39" spans="1:57" ht="39.950000000000003" customHeight="1" x14ac:dyDescent="0.25">
      <c r="A39" s="247" t="s">
        <v>63</v>
      </c>
      <c r="B39" s="247"/>
      <c r="C39" s="247"/>
      <c r="D39" s="162">
        <v>15</v>
      </c>
      <c r="E39" s="162">
        <v>15</v>
      </c>
      <c r="F39" s="81"/>
      <c r="G39" s="153">
        <f>D39*SUM(1+$G$1/$Y$1)</f>
        <v>18</v>
      </c>
      <c r="H39" s="153">
        <f>E39*SUM(1+$G$1/$Y$1)</f>
        <v>18</v>
      </c>
      <c r="J39" s="155">
        <f t="shared" ref="J39:K39" si="51">G39-D39</f>
        <v>3</v>
      </c>
      <c r="K39" s="155">
        <f t="shared" si="51"/>
        <v>3</v>
      </c>
      <c r="L39" s="41"/>
      <c r="M39" s="161">
        <f t="shared" ref="M39:N39" si="52">ROUND(D39*(1+$G$1*2),2)*SUM(1+$M$1)</f>
        <v>19.8</v>
      </c>
      <c r="N39" s="161">
        <f t="shared" si="52"/>
        <v>19.8</v>
      </c>
      <c r="P39" s="134">
        <f t="shared" ref="P39:Q39" si="53">M39-D39</f>
        <v>4.8000000000000007</v>
      </c>
      <c r="Q39" s="134">
        <f t="shared" si="53"/>
        <v>4.8000000000000007</v>
      </c>
      <c r="S39" s="141">
        <f>AK39/G39</f>
        <v>0.1</v>
      </c>
      <c r="T39" s="141">
        <f>AL39/H39</f>
        <v>0.1</v>
      </c>
      <c r="V39" s="41">
        <f>SUM(D39/(1-$Y$1))</f>
        <v>30</v>
      </c>
      <c r="W39" s="41">
        <f>SUM(E39/(1-$Y$1))</f>
        <v>30</v>
      </c>
      <c r="Y39" s="41">
        <f t="shared" ref="Y39:Z39" si="54">ROUND(D39/(1-$Y$1)*1.2,2)</f>
        <v>36</v>
      </c>
      <c r="Z39" s="41">
        <f t="shared" si="54"/>
        <v>36</v>
      </c>
      <c r="AB39" s="182">
        <f t="shared" ref="AB39:AC39" si="55">ROUNDDOWN(D39/(1-$Y$1)*1.2,1)</f>
        <v>36</v>
      </c>
      <c r="AC39" s="182">
        <f t="shared" si="55"/>
        <v>36</v>
      </c>
      <c r="AE39" s="40">
        <f t="shared" ref="AE39:AF39" si="56">AB39/1.2</f>
        <v>30</v>
      </c>
      <c r="AF39" s="40">
        <f t="shared" si="56"/>
        <v>30</v>
      </c>
      <c r="AH39" s="40">
        <f t="shared" ref="AH39:AI39" si="57">Y39-AB39</f>
        <v>0</v>
      </c>
      <c r="AI39" s="40">
        <f t="shared" si="57"/>
        <v>0</v>
      </c>
      <c r="AK39" s="130">
        <f t="shared" ref="AK39" si="58">ROUND(M39*(1-(1/(1+$AL$1))),2)</f>
        <v>1.8</v>
      </c>
      <c r="AL39" s="130">
        <f>ROUND(N39*(1-(1/(1+$AL$1))),2)</f>
        <v>1.8</v>
      </c>
      <c r="AM39" s="40"/>
      <c r="AN39" s="40">
        <f t="shared" ref="AN39:AO39" si="59">SUM(V39-G39)-AH39</f>
        <v>12</v>
      </c>
      <c r="AO39" s="40">
        <f t="shared" si="59"/>
        <v>12</v>
      </c>
      <c r="AP39" s="40"/>
      <c r="AQ39" s="144">
        <f>(SUM(G39-D39)/D39*$Y$1)</f>
        <v>0.1</v>
      </c>
      <c r="AR39" s="144">
        <f>(SUM(H39-E39)/E39*$Y$1)</f>
        <v>0.1</v>
      </c>
      <c r="AS39" s="40"/>
      <c r="AT39" s="146">
        <f>AN39/V39</f>
        <v>0.4</v>
      </c>
      <c r="AU39" s="146">
        <f>AO39/W39</f>
        <v>0.4</v>
      </c>
      <c r="AV39" s="40"/>
      <c r="AW39" s="76">
        <f>D39/V39</f>
        <v>0.5</v>
      </c>
      <c r="AX39" s="76">
        <f>E39/W39</f>
        <v>0.5</v>
      </c>
      <c r="AY39" s="42"/>
      <c r="AZ39" s="42">
        <f>J39+AN39</f>
        <v>15</v>
      </c>
      <c r="BA39" s="42">
        <f>K39+AO39</f>
        <v>15</v>
      </c>
      <c r="BB39" s="42"/>
      <c r="BC39" s="76">
        <f>AZ39/(D39/$Y$1)</f>
        <v>0.5</v>
      </c>
      <c r="BD39" s="76">
        <f>BA39/(E39/$Y$1)</f>
        <v>0.5</v>
      </c>
      <c r="BE39" s="42"/>
    </row>
    <row r="40" spans="1:57" x14ac:dyDescent="0.25">
      <c r="A40" s="52"/>
      <c r="B40" s="52"/>
      <c r="C40" s="98"/>
      <c r="D40" s="52"/>
      <c r="E40" s="52"/>
      <c r="F40" s="40"/>
    </row>
    <row r="41" spans="1:57" x14ac:dyDescent="0.25">
      <c r="A41" s="45" t="s">
        <v>64</v>
      </c>
      <c r="B41" s="45" t="s">
        <v>65</v>
      </c>
      <c r="C41" s="45" t="s">
        <v>66</v>
      </c>
    </row>
    <row r="42" spans="1:57" s="122" customFormat="1" ht="30" customHeight="1" x14ac:dyDescent="0.25">
      <c r="A42" s="120"/>
      <c r="B42" s="121" t="s">
        <v>67</v>
      </c>
      <c r="C42" s="248" t="s">
        <v>68</v>
      </c>
      <c r="D42" s="248"/>
      <c r="E42" s="248"/>
      <c r="F42" s="248"/>
      <c r="G42" s="248"/>
      <c r="H42" s="248"/>
      <c r="I42" s="248"/>
      <c r="J42" s="248"/>
      <c r="K42" s="248"/>
      <c r="L42" s="248"/>
      <c r="M42" s="248"/>
    </row>
    <row r="43" spans="1:57" s="122" customFormat="1" ht="30" customHeight="1" x14ac:dyDescent="0.25">
      <c r="A43" s="120"/>
      <c r="B43" s="121"/>
      <c r="C43" s="248"/>
      <c r="D43" s="248"/>
      <c r="E43" s="248"/>
      <c r="F43" s="248"/>
      <c r="G43" s="248"/>
      <c r="H43" s="248"/>
      <c r="I43" s="248"/>
      <c r="J43" s="248"/>
      <c r="K43" s="248"/>
      <c r="L43" s="248"/>
      <c r="M43" s="248"/>
    </row>
    <row r="44" spans="1:57" x14ac:dyDescent="0.25">
      <c r="B44" s="45" t="s">
        <v>69</v>
      </c>
      <c r="C44" s="45" t="s">
        <v>70</v>
      </c>
      <c r="G44" s="40"/>
    </row>
    <row r="45" spans="1:57" x14ac:dyDescent="0.25">
      <c r="B45" s="45" t="s">
        <v>71</v>
      </c>
      <c r="C45" s="45" t="s">
        <v>72</v>
      </c>
      <c r="G45" s="40"/>
    </row>
    <row r="46" spans="1:57" x14ac:dyDescent="0.25">
      <c r="A46" s="52"/>
      <c r="B46" s="52"/>
      <c r="C46" s="98"/>
      <c r="D46" s="52"/>
      <c r="E46" s="52"/>
      <c r="F46" s="40"/>
    </row>
    <row r="47" spans="1:57" x14ac:dyDescent="0.25">
      <c r="A47" s="46" t="s">
        <v>73</v>
      </c>
      <c r="B47" s="1" t="s">
        <v>74</v>
      </c>
      <c r="C47" s="46" t="s">
        <v>75</v>
      </c>
      <c r="D47" s="25"/>
      <c r="F47" s="47"/>
    </row>
    <row r="48" spans="1:57" x14ac:dyDescent="0.25">
      <c r="A48" s="25"/>
      <c r="B48" s="1" t="s">
        <v>76</v>
      </c>
      <c r="C48" s="47" t="s">
        <v>77</v>
      </c>
      <c r="D48" s="25"/>
      <c r="F48" s="47"/>
    </row>
    <row r="49" spans="1:12" x14ac:dyDescent="0.25">
      <c r="A49" s="25"/>
      <c r="B49" s="1" t="s">
        <v>78</v>
      </c>
      <c r="C49" s="47" t="s">
        <v>79</v>
      </c>
      <c r="D49" s="25"/>
      <c r="F49" s="47"/>
    </row>
    <row r="50" spans="1:12" x14ac:dyDescent="0.25">
      <c r="A50" s="25"/>
      <c r="B50" s="1" t="s">
        <v>80</v>
      </c>
      <c r="C50" s="47" t="s">
        <v>81</v>
      </c>
      <c r="D50" s="25"/>
      <c r="F50" s="47"/>
    </row>
    <row r="51" spans="1:12" x14ac:dyDescent="0.25">
      <c r="F51" s="52"/>
      <c r="G51" s="52"/>
      <c r="H51" s="52"/>
      <c r="I51" s="52"/>
      <c r="J51" s="52"/>
      <c r="K51" s="52"/>
      <c r="L51" s="52"/>
    </row>
    <row r="52" spans="1:12" x14ac:dyDescent="0.25">
      <c r="A52" s="1" t="s">
        <v>82</v>
      </c>
      <c r="C52" s="1" t="s">
        <v>83</v>
      </c>
      <c r="F52" s="99"/>
      <c r="G52" s="99"/>
      <c r="H52" s="99"/>
      <c r="I52" s="99"/>
      <c r="J52" s="99"/>
      <c r="K52" s="99"/>
      <c r="L52" s="99"/>
    </row>
    <row r="53" spans="1:12" x14ac:dyDescent="0.25">
      <c r="A53" s="99"/>
      <c r="F53" s="99"/>
      <c r="G53" s="99"/>
      <c r="H53" s="99"/>
      <c r="I53" s="99"/>
      <c r="J53" s="99"/>
      <c r="K53" s="99"/>
      <c r="L53" s="99"/>
    </row>
    <row r="54" spans="1:12" x14ac:dyDescent="0.25">
      <c r="A54" s="52" t="s">
        <v>84</v>
      </c>
      <c r="B54" s="52"/>
      <c r="C54" s="52"/>
      <c r="D54" s="52"/>
      <c r="E54" s="52"/>
      <c r="F54" s="99"/>
      <c r="G54" s="99"/>
      <c r="H54" s="99"/>
      <c r="I54" s="99"/>
      <c r="J54" s="99"/>
      <c r="K54" s="99"/>
      <c r="L54" s="99"/>
    </row>
    <row r="57" spans="1:12" x14ac:dyDescent="0.25">
      <c r="A57" s="166" t="s">
        <v>85</v>
      </c>
      <c r="B57" s="191">
        <v>1.8</v>
      </c>
      <c r="C57" s="192" t="s">
        <v>156</v>
      </c>
    </row>
    <row r="58" spans="1:12" x14ac:dyDescent="0.25">
      <c r="A58" s="166"/>
      <c r="B58" s="191">
        <v>3.6</v>
      </c>
      <c r="C58" s="192" t="s">
        <v>157</v>
      </c>
    </row>
  </sheetData>
  <mergeCells count="40">
    <mergeCell ref="AZ36:BA36"/>
    <mergeCell ref="BC36:BD36"/>
    <mergeCell ref="A39:C39"/>
    <mergeCell ref="C42:M43"/>
    <mergeCell ref="AH36:AI36"/>
    <mergeCell ref="AK36:AL36"/>
    <mergeCell ref="AN36:AO36"/>
    <mergeCell ref="AQ36:AR36"/>
    <mergeCell ref="AT36:AU36"/>
    <mergeCell ref="AW36:AX36"/>
    <mergeCell ref="P36:Q36"/>
    <mergeCell ref="S36:T36"/>
    <mergeCell ref="V36:W36"/>
    <mergeCell ref="Y36:Z36"/>
    <mergeCell ref="AB36:AC36"/>
    <mergeCell ref="AE36:AF36"/>
    <mergeCell ref="B30:E30"/>
    <mergeCell ref="B31:F31"/>
    <mergeCell ref="D36:E36"/>
    <mergeCell ref="G36:H36"/>
    <mergeCell ref="J36:K36"/>
    <mergeCell ref="M36:N36"/>
    <mergeCell ref="AN2:AO2"/>
    <mergeCell ref="AQ2:AR2"/>
    <mergeCell ref="AT2:AU2"/>
    <mergeCell ref="AW2:AX2"/>
    <mergeCell ref="S2:T2"/>
    <mergeCell ref="AZ2:BA2"/>
    <mergeCell ref="BC2:BD2"/>
    <mergeCell ref="V2:W2"/>
    <mergeCell ref="Y2:Z2"/>
    <mergeCell ref="AB2:AC2"/>
    <mergeCell ref="AE2:AF2"/>
    <mergeCell ref="AH2:AI2"/>
    <mergeCell ref="AK2:AL2"/>
    <mergeCell ref="D2:E2"/>
    <mergeCell ref="G2:H2"/>
    <mergeCell ref="J2:K2"/>
    <mergeCell ref="M2:N2"/>
    <mergeCell ref="P2:Q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E5E72-F3E2-4B5C-97ED-D52D055D534A}">
  <sheetPr>
    <tabColor rgb="FFFFC000"/>
  </sheetPr>
  <dimension ref="A1:BE58"/>
  <sheetViews>
    <sheetView zoomScale="85" zoomScaleNormal="8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2" sqref="A2"/>
    </sheetView>
  </sheetViews>
  <sheetFormatPr defaultColWidth="8.85546875" defaultRowHeight="15" x14ac:dyDescent="0.25"/>
  <cols>
    <col min="1" max="1" width="33.7109375" style="1" customWidth="1"/>
    <col min="2" max="2" width="8.85546875" style="1" customWidth="1"/>
    <col min="3" max="3" width="32.140625" style="1" customWidth="1"/>
    <col min="4" max="5" width="10" style="1" customWidth="1"/>
    <col min="6" max="6" width="3.7109375" style="1" customWidth="1"/>
    <col min="7" max="8" width="9.7109375" style="1" customWidth="1"/>
    <col min="9" max="9" width="3.7109375" style="1" customWidth="1"/>
    <col min="10" max="11" width="9.7109375" style="1" customWidth="1"/>
    <col min="12" max="12" width="3.7109375" style="1" customWidth="1"/>
    <col min="13" max="13" width="13" style="1" customWidth="1"/>
    <col min="14" max="14" width="11.85546875" style="1" bestFit="1" customWidth="1"/>
    <col min="15" max="15" width="3.7109375" style="1" customWidth="1"/>
    <col min="16" max="17" width="9.7109375" style="1" customWidth="1"/>
    <col min="18" max="18" width="3.7109375" style="1" customWidth="1"/>
    <col min="19" max="20" width="9.7109375" style="1" customWidth="1"/>
    <col min="21" max="21" width="5.140625" style="1" customWidth="1"/>
    <col min="22" max="22" width="12.42578125" style="1" customWidth="1"/>
    <col min="23" max="23" width="11.85546875" style="1" customWidth="1"/>
    <col min="24" max="24" width="6.140625" style="1" customWidth="1"/>
    <col min="25" max="25" width="12.42578125" style="1" customWidth="1"/>
    <col min="26" max="26" width="11.85546875" style="1" customWidth="1"/>
    <col min="27" max="27" width="3.7109375" style="1" customWidth="1"/>
    <col min="28" max="29" width="9.7109375" style="1" customWidth="1"/>
    <col min="30" max="30" width="3.7109375" style="1" customWidth="1"/>
    <col min="31" max="32" width="9.7109375" style="1" customWidth="1"/>
    <col min="33" max="33" width="3.7109375" style="1" customWidth="1"/>
    <col min="34" max="35" width="9.7109375" style="1" customWidth="1"/>
    <col min="36" max="36" width="3.7109375" style="1" customWidth="1"/>
    <col min="37" max="38" width="9.7109375" style="1" customWidth="1"/>
    <col min="39" max="39" width="3.7109375" style="1" customWidth="1"/>
    <col min="40" max="41" width="9.7109375" style="1" customWidth="1"/>
    <col min="42" max="42" width="3.7109375" style="1" customWidth="1"/>
    <col min="43" max="44" width="9.7109375" style="1" customWidth="1"/>
    <col min="45" max="45" width="3.7109375" style="1" customWidth="1"/>
    <col min="46" max="47" width="9.7109375" style="1" customWidth="1"/>
    <col min="48" max="48" width="3.7109375" style="1" customWidth="1"/>
    <col min="49" max="50" width="9.7109375" style="1" customWidth="1"/>
    <col min="51" max="51" width="3.7109375" style="1" customWidth="1"/>
    <col min="52" max="53" width="9.7109375" style="1" customWidth="1"/>
    <col min="54" max="54" width="3.7109375" style="1" customWidth="1"/>
    <col min="55" max="55" width="11.85546875" style="1" customWidth="1"/>
    <col min="56" max="56" width="10.42578125" style="1" customWidth="1"/>
    <col min="57" max="57" width="8.140625" style="1" customWidth="1"/>
    <col min="58" max="16384" width="8.85546875" style="1"/>
  </cols>
  <sheetData>
    <row r="1" spans="1:57" ht="15" customHeight="1" thickBot="1" x14ac:dyDescent="0.3">
      <c r="A1" s="184" t="s">
        <v>174</v>
      </c>
      <c r="C1" s="171" t="s">
        <v>0</v>
      </c>
      <c r="D1" s="163">
        <v>0.03</v>
      </c>
      <c r="E1" s="18"/>
      <c r="F1" s="18"/>
      <c r="G1" s="194">
        <v>0.1</v>
      </c>
      <c r="H1" s="170" t="s">
        <v>1</v>
      </c>
      <c r="I1" s="18"/>
      <c r="J1" s="18"/>
      <c r="K1" s="18"/>
      <c r="L1" s="18"/>
      <c r="M1" s="92">
        <v>0.1</v>
      </c>
      <c r="N1" s="18"/>
      <c r="O1" s="18"/>
      <c r="P1" s="18"/>
      <c r="Q1" s="18"/>
      <c r="R1" s="18"/>
      <c r="S1" s="18"/>
      <c r="T1" s="18"/>
      <c r="U1" s="18"/>
      <c r="V1" s="92"/>
      <c r="W1" s="18"/>
      <c r="X1" s="92"/>
      <c r="Y1" s="91">
        <v>0.5</v>
      </c>
      <c r="Z1" s="18"/>
      <c r="AL1" s="83">
        <v>0.1</v>
      </c>
    </row>
    <row r="2" spans="1:57" ht="48" customHeight="1" x14ac:dyDescent="0.25">
      <c r="A2" s="97"/>
      <c r="D2" s="244" t="s">
        <v>128</v>
      </c>
      <c r="E2" s="244"/>
      <c r="F2" s="95"/>
      <c r="G2" s="245" t="s">
        <v>3</v>
      </c>
      <c r="H2" s="245"/>
      <c r="I2" s="18"/>
      <c r="J2" s="245" t="s">
        <v>4</v>
      </c>
      <c r="K2" s="245"/>
      <c r="L2" s="18"/>
      <c r="M2" s="219" t="s">
        <v>5</v>
      </c>
      <c r="N2" s="219"/>
      <c r="O2" s="18"/>
      <c r="P2" s="219" t="s">
        <v>6</v>
      </c>
      <c r="Q2" s="219"/>
      <c r="R2" s="18"/>
      <c r="S2" s="219" t="s">
        <v>7</v>
      </c>
      <c r="T2" s="219"/>
      <c r="U2" s="18"/>
      <c r="V2" s="214" t="s">
        <v>8</v>
      </c>
      <c r="W2" s="214"/>
      <c r="X2" s="52"/>
      <c r="Y2" s="211" t="s">
        <v>9</v>
      </c>
      <c r="Z2" s="211"/>
      <c r="AB2" s="215" t="s">
        <v>10</v>
      </c>
      <c r="AC2" s="215"/>
      <c r="AE2" s="211" t="s">
        <v>11</v>
      </c>
      <c r="AF2" s="211"/>
      <c r="AH2" s="211" t="s">
        <v>12</v>
      </c>
      <c r="AI2" s="211"/>
      <c r="AK2" s="211" t="s">
        <v>13</v>
      </c>
      <c r="AL2" s="211"/>
      <c r="AN2" s="211" t="s">
        <v>14</v>
      </c>
      <c r="AO2" s="211"/>
      <c r="AQ2" s="212" t="s">
        <v>15</v>
      </c>
      <c r="AR2" s="212"/>
      <c r="AT2" s="211" t="s">
        <v>16</v>
      </c>
      <c r="AU2" s="211"/>
      <c r="AW2" s="213" t="s">
        <v>17</v>
      </c>
      <c r="AX2" s="213"/>
      <c r="AZ2" s="213" t="s">
        <v>18</v>
      </c>
      <c r="BA2" s="213"/>
      <c r="BC2" s="213" t="s">
        <v>129</v>
      </c>
      <c r="BD2" s="213"/>
    </row>
    <row r="3" spans="1:57" s="52" customFormat="1" ht="102" customHeight="1" x14ac:dyDescent="0.25">
      <c r="A3" s="97"/>
      <c r="D3" s="195" t="s">
        <v>130</v>
      </c>
      <c r="E3" s="147" t="s">
        <v>131</v>
      </c>
      <c r="F3" s="35"/>
      <c r="G3" s="151" t="s">
        <v>130</v>
      </c>
      <c r="H3" s="152" t="s">
        <v>131</v>
      </c>
      <c r="J3" s="151" t="s">
        <v>130</v>
      </c>
      <c r="K3" s="152" t="s">
        <v>131</v>
      </c>
      <c r="M3" s="132" t="s">
        <v>130</v>
      </c>
      <c r="N3" s="133" t="s">
        <v>131</v>
      </c>
      <c r="P3" s="132" t="s">
        <v>130</v>
      </c>
      <c r="Q3" s="133" t="s">
        <v>131</v>
      </c>
      <c r="S3" s="132" t="s">
        <v>130</v>
      </c>
      <c r="T3" s="133" t="s">
        <v>131</v>
      </c>
      <c r="V3" s="96" t="s">
        <v>130</v>
      </c>
      <c r="W3" s="95" t="s">
        <v>131</v>
      </c>
      <c r="Y3" s="96" t="s">
        <v>130</v>
      </c>
      <c r="Z3" s="95" t="s">
        <v>131</v>
      </c>
      <c r="AB3" s="96" t="s">
        <v>130</v>
      </c>
      <c r="AC3" s="95" t="s">
        <v>131</v>
      </c>
      <c r="AE3" s="96" t="s">
        <v>130</v>
      </c>
      <c r="AF3" s="95" t="s">
        <v>131</v>
      </c>
      <c r="AG3" s="34"/>
      <c r="AH3" s="96" t="s">
        <v>130</v>
      </c>
      <c r="AI3" s="95" t="s">
        <v>131</v>
      </c>
      <c r="AK3" s="128" t="s">
        <v>130</v>
      </c>
      <c r="AL3" s="129" t="s">
        <v>131</v>
      </c>
      <c r="AN3" s="96" t="s">
        <v>130</v>
      </c>
      <c r="AO3" s="95" t="s">
        <v>131</v>
      </c>
      <c r="AQ3" s="196" t="s">
        <v>130</v>
      </c>
      <c r="AR3" s="142" t="s">
        <v>131</v>
      </c>
      <c r="AT3" s="197" t="s">
        <v>130</v>
      </c>
      <c r="AU3" s="129" t="s">
        <v>131</v>
      </c>
      <c r="AW3" s="96" t="s">
        <v>130</v>
      </c>
      <c r="AX3" s="95" t="s">
        <v>131</v>
      </c>
      <c r="AZ3" s="96" t="s">
        <v>130</v>
      </c>
      <c r="BA3" s="95" t="s">
        <v>131</v>
      </c>
      <c r="BC3" s="139" t="s">
        <v>130</v>
      </c>
      <c r="BD3" s="95" t="s">
        <v>131</v>
      </c>
    </row>
    <row r="4" spans="1:57" x14ac:dyDescent="0.25">
      <c r="A4" s="167" t="s">
        <v>132</v>
      </c>
      <c r="B4" s="4"/>
      <c r="D4" s="137"/>
      <c r="E4" s="148"/>
      <c r="F4" s="39"/>
      <c r="G4" s="138"/>
      <c r="H4" s="138"/>
      <c r="J4" s="154"/>
      <c r="K4" s="154"/>
      <c r="M4" s="123"/>
      <c r="N4" s="123"/>
      <c r="P4" s="123"/>
      <c r="Q4" s="123"/>
      <c r="S4" s="140"/>
      <c r="T4" s="140"/>
      <c r="V4" s="75"/>
      <c r="AK4" s="131"/>
      <c r="AL4" s="131"/>
      <c r="AQ4" s="143"/>
      <c r="AR4" s="143"/>
      <c r="AT4" s="131"/>
      <c r="AU4" s="131"/>
    </row>
    <row r="5" spans="1:57" x14ac:dyDescent="0.25">
      <c r="A5" t="s">
        <v>133</v>
      </c>
      <c r="D5" s="162">
        <f>ROUND('AMT Gold Standard from 24 Feb26'!D5+'AMT Gold Inc Cruise - 24 Feb26'!$B$57,2)</f>
        <v>50.67</v>
      </c>
      <c r="E5" s="162">
        <f>ROUND('AMT Gold Standard from 24 Feb26'!E5+'AMT Gold Inc Cruise - 24 Feb26'!$B$58,2)</f>
        <v>69.73</v>
      </c>
      <c r="F5" s="81"/>
      <c r="G5" s="153">
        <f t="shared" ref="G5:H8" si="0">D5*SUM(1+$G$1/$Y$1)</f>
        <v>60.804000000000002</v>
      </c>
      <c r="H5" s="153">
        <f t="shared" si="0"/>
        <v>83.676000000000002</v>
      </c>
      <c r="I5" s="83"/>
      <c r="J5" s="155">
        <f>G5-D5</f>
        <v>10.134</v>
      </c>
      <c r="K5" s="155">
        <f>H5-E5</f>
        <v>13.945999999999998</v>
      </c>
      <c r="L5" s="83"/>
      <c r="M5" s="134">
        <f>ROUND(D5*(1+$G$1*2),2)*SUM(1+$M$1)</f>
        <v>66.88</v>
      </c>
      <c r="N5" s="134">
        <f>ROUND(E5*(1+$G$1*2),2)*SUM(1+$M$1)</f>
        <v>92.048000000000016</v>
      </c>
      <c r="P5" s="134">
        <f>M5-D5</f>
        <v>16.209999999999994</v>
      </c>
      <c r="Q5" s="134">
        <f>N5-E5</f>
        <v>22.318000000000012</v>
      </c>
      <c r="S5" s="141">
        <f t="shared" ref="S5:T8" si="1">AK5/G5</f>
        <v>9.9993421485428585E-2</v>
      </c>
      <c r="T5" s="141">
        <f t="shared" si="1"/>
        <v>0.10002868205937185</v>
      </c>
      <c r="V5" s="41">
        <f t="shared" ref="V5:W8" si="2">SUM(D5/(1-$Y$1))</f>
        <v>101.34</v>
      </c>
      <c r="W5" s="41">
        <f t="shared" si="2"/>
        <v>139.46</v>
      </c>
      <c r="X5" s="82"/>
      <c r="Y5" s="41">
        <f>ROUND(D5/(1-$Y$1)*1.2,2)</f>
        <v>121.61</v>
      </c>
      <c r="Z5" s="41">
        <f>ROUND(E5/(1-$Y$1)*1.2,2)</f>
        <v>167.35</v>
      </c>
      <c r="AB5" s="182">
        <f>ROUNDDOWN(D5/(1-$Y$1)*1.2,1)</f>
        <v>121.6</v>
      </c>
      <c r="AC5" s="182">
        <f>ROUNDDOWN(E5/(1-$Y$1)*1.2,1)</f>
        <v>167.3</v>
      </c>
      <c r="AE5" s="40">
        <f>AB5/1.2</f>
        <v>101.33333333333333</v>
      </c>
      <c r="AF5" s="40">
        <f>AC5/1.2</f>
        <v>139.41666666666669</v>
      </c>
      <c r="AH5" s="40">
        <f>Y5-AB5</f>
        <v>1.0000000000005116E-2</v>
      </c>
      <c r="AI5" s="40">
        <f>Z5-AC5</f>
        <v>4.9999999999982947E-2</v>
      </c>
      <c r="AK5" s="130">
        <f t="shared" ref="AK5:AL8" si="3">ROUND(M5*(1-(1/(1+$AL$1))),2)</f>
        <v>6.08</v>
      </c>
      <c r="AL5" s="130">
        <f t="shared" si="3"/>
        <v>8.3699999999999992</v>
      </c>
      <c r="AM5" s="40"/>
      <c r="AN5" s="40">
        <f>SUM(V5-G5)-AH5</f>
        <v>40.525999999999996</v>
      </c>
      <c r="AO5" s="40">
        <f>SUM(W5-H5)-AI5</f>
        <v>55.734000000000023</v>
      </c>
      <c r="AP5" s="40"/>
      <c r="AQ5" s="144">
        <f t="shared" ref="AQ5:AR8" si="4">(SUM(G5-D5)/D5*$Y$1)</f>
        <v>0.1</v>
      </c>
      <c r="AR5" s="144">
        <f t="shared" si="4"/>
        <v>9.9999999999999978E-2</v>
      </c>
      <c r="AS5" s="40"/>
      <c r="AT5" s="146">
        <f t="shared" ref="AT5:AU8" si="5">AN5/V5</f>
        <v>0.39990132228142883</v>
      </c>
      <c r="AU5" s="146">
        <f t="shared" si="5"/>
        <v>0.39964147425785185</v>
      </c>
      <c r="AV5" s="40"/>
      <c r="AW5" s="76">
        <f t="shared" ref="AW5:AX8" si="6">D5/V5</f>
        <v>0.5</v>
      </c>
      <c r="AX5" s="76">
        <f t="shared" si="6"/>
        <v>0.5</v>
      </c>
      <c r="AY5" s="42"/>
      <c r="AZ5" s="42">
        <f t="shared" ref="AZ5:BA8" si="7">J5+AN5</f>
        <v>50.66</v>
      </c>
      <c r="BA5" s="42">
        <f t="shared" si="7"/>
        <v>69.680000000000021</v>
      </c>
      <c r="BB5" s="42"/>
      <c r="BC5" s="76">
        <f t="shared" ref="BC5:BD8" si="8">AZ5/(D5/$Y$1)</f>
        <v>0.49990132228142881</v>
      </c>
      <c r="BD5" s="76">
        <f t="shared" si="8"/>
        <v>0.49964147425785183</v>
      </c>
      <c r="BE5" s="42"/>
    </row>
    <row r="6" spans="1:57" x14ac:dyDescent="0.25">
      <c r="A6" t="s">
        <v>134</v>
      </c>
      <c r="D6" s="162">
        <f>ROUND('AMT Gold Standard from 24 Feb26'!D6+'AMT Gold Inc Cruise - 24 Feb26'!$B$57,2)</f>
        <v>75.12</v>
      </c>
      <c r="E6" s="162">
        <f>ROUND('AMT Gold Standard from 24 Feb26'!E6+'AMT Gold Inc Cruise - 24 Feb26'!$B$58,2)</f>
        <v>102.78</v>
      </c>
      <c r="F6" s="81"/>
      <c r="G6" s="153">
        <f t="shared" si="0"/>
        <v>90.144000000000005</v>
      </c>
      <c r="H6" s="153">
        <f t="shared" si="0"/>
        <v>123.336</v>
      </c>
      <c r="I6" s="83"/>
      <c r="J6" s="155">
        <f>G6-D6</f>
        <v>15.024000000000001</v>
      </c>
      <c r="K6" s="155">
        <f>H6-E6</f>
        <v>20.555999999999997</v>
      </c>
      <c r="L6" s="83"/>
      <c r="M6" s="134">
        <f t="shared" ref="M6:N8" si="9">ROUND(D6*(1+$G$1*2),2)*SUM(1+$M$1)</f>
        <v>99.154000000000011</v>
      </c>
      <c r="N6" s="134">
        <f t="shared" si="9"/>
        <v>135.67400000000001</v>
      </c>
      <c r="P6" s="134">
        <f>M6-D6</f>
        <v>24.034000000000006</v>
      </c>
      <c r="Q6" s="134">
        <f>N6-E6</f>
        <v>32.894000000000005</v>
      </c>
      <c r="S6" s="141">
        <f t="shared" si="1"/>
        <v>9.99511892083777E-2</v>
      </c>
      <c r="T6" s="141">
        <f t="shared" si="1"/>
        <v>9.9970811441914775E-2</v>
      </c>
      <c r="V6" s="41">
        <f t="shared" si="2"/>
        <v>150.24</v>
      </c>
      <c r="W6" s="41">
        <f t="shared" si="2"/>
        <v>205.56</v>
      </c>
      <c r="X6" s="82"/>
      <c r="Y6" s="41">
        <f t="shared" ref="Y6:Z8" si="10">ROUND(D6/(1-$Y$1)*1.2,2)</f>
        <v>180.29</v>
      </c>
      <c r="Z6" s="41">
        <f t="shared" si="10"/>
        <v>246.67</v>
      </c>
      <c r="AB6" s="182">
        <f t="shared" ref="AB6:AC8" si="11">ROUNDDOWN(D6/(1-$Y$1)*1.2,1)</f>
        <v>180.2</v>
      </c>
      <c r="AC6" s="182">
        <f t="shared" si="11"/>
        <v>246.6</v>
      </c>
      <c r="AE6" s="40">
        <f t="shared" ref="AE6:AF8" si="12">AB6/1.2</f>
        <v>150.16666666666666</v>
      </c>
      <c r="AF6" s="40">
        <f t="shared" si="12"/>
        <v>205.5</v>
      </c>
      <c r="AH6" s="40">
        <f t="shared" ref="AH6:AI8" si="13">Y6-AB6</f>
        <v>9.0000000000003411E-2</v>
      </c>
      <c r="AI6" s="40">
        <f t="shared" si="13"/>
        <v>6.9999999999993179E-2</v>
      </c>
      <c r="AK6" s="130">
        <f t="shared" si="3"/>
        <v>9.01</v>
      </c>
      <c r="AL6" s="130">
        <f t="shared" si="3"/>
        <v>12.33</v>
      </c>
      <c r="AM6" s="40"/>
      <c r="AN6" s="40">
        <f t="shared" ref="AN6:AN8" si="14">SUM(V6-G6)-AH6</f>
        <v>60.006</v>
      </c>
      <c r="AO6" s="40">
        <f t="shared" ref="AO6:AO8" si="15">SUM(W6-H6)-AI6</f>
        <v>82.154000000000011</v>
      </c>
      <c r="AP6" s="40"/>
      <c r="AQ6" s="144">
        <f t="shared" si="4"/>
        <v>0.1</v>
      </c>
      <c r="AR6" s="144">
        <f t="shared" si="4"/>
        <v>9.9999999999999992E-2</v>
      </c>
      <c r="AS6" s="40"/>
      <c r="AT6" s="146">
        <f t="shared" si="5"/>
        <v>0.39940095846645363</v>
      </c>
      <c r="AU6" s="146">
        <f t="shared" si="5"/>
        <v>0.39965946682233905</v>
      </c>
      <c r="AV6" s="40"/>
      <c r="AW6" s="76">
        <f t="shared" si="6"/>
        <v>0.5</v>
      </c>
      <c r="AX6" s="76">
        <f t="shared" si="6"/>
        <v>0.5</v>
      </c>
      <c r="AY6" s="42"/>
      <c r="AZ6" s="42">
        <f t="shared" si="7"/>
        <v>75.03</v>
      </c>
      <c r="BA6" s="42">
        <f t="shared" si="7"/>
        <v>102.71000000000001</v>
      </c>
      <c r="BB6" s="42"/>
      <c r="BC6" s="76">
        <f t="shared" si="8"/>
        <v>0.49940095846645366</v>
      </c>
      <c r="BD6" s="76">
        <f t="shared" si="8"/>
        <v>0.49965946682233903</v>
      </c>
      <c r="BE6" s="42"/>
    </row>
    <row r="7" spans="1:57" x14ac:dyDescent="0.25">
      <c r="A7" t="s">
        <v>135</v>
      </c>
      <c r="D7" s="162">
        <f>ROUND('AMT Gold Standard from 24 Feb26'!D7+'AMT Gold Inc Cruise - 24 Feb26'!$B$57,2)</f>
        <v>83.8</v>
      </c>
      <c r="E7" s="162">
        <f>ROUND('AMT Gold Standard from 24 Feb26'!E7+'AMT Gold Inc Cruise - 24 Feb26'!$B$58,2)</f>
        <v>117.15</v>
      </c>
      <c r="F7" s="81"/>
      <c r="G7" s="153">
        <f t="shared" si="0"/>
        <v>100.55999999999999</v>
      </c>
      <c r="H7" s="153">
        <f t="shared" si="0"/>
        <v>140.58000000000001</v>
      </c>
      <c r="J7" s="155">
        <f t="shared" ref="J7:K8" si="16">G7-D7</f>
        <v>16.759999999999991</v>
      </c>
      <c r="K7" s="155">
        <f t="shared" si="16"/>
        <v>23.430000000000007</v>
      </c>
      <c r="M7" s="134">
        <f t="shared" si="9"/>
        <v>110.61600000000001</v>
      </c>
      <c r="N7" s="134">
        <f t="shared" si="9"/>
        <v>154.63800000000003</v>
      </c>
      <c r="P7" s="134">
        <f t="shared" ref="P7:Q8" si="17">M7-D7</f>
        <v>26.816000000000017</v>
      </c>
      <c r="Q7" s="134">
        <f t="shared" si="17"/>
        <v>37.488000000000028</v>
      </c>
      <c r="S7" s="141">
        <f t="shared" si="1"/>
        <v>0.1000397772474145</v>
      </c>
      <c r="T7" s="141">
        <f t="shared" si="1"/>
        <v>0.10001422677479015</v>
      </c>
      <c r="V7" s="41">
        <f t="shared" si="2"/>
        <v>167.6</v>
      </c>
      <c r="W7" s="41">
        <f t="shared" si="2"/>
        <v>234.3</v>
      </c>
      <c r="Y7" s="41">
        <f t="shared" si="10"/>
        <v>201.12</v>
      </c>
      <c r="Z7" s="41">
        <f t="shared" si="10"/>
        <v>281.16000000000003</v>
      </c>
      <c r="AB7" s="182">
        <f t="shared" si="11"/>
        <v>201.1</v>
      </c>
      <c r="AC7" s="182">
        <f t="shared" si="11"/>
        <v>281.10000000000002</v>
      </c>
      <c r="AE7" s="40">
        <f t="shared" si="12"/>
        <v>167.58333333333334</v>
      </c>
      <c r="AF7" s="40">
        <f t="shared" si="12"/>
        <v>234.25000000000003</v>
      </c>
      <c r="AH7" s="40">
        <f t="shared" si="13"/>
        <v>2.0000000000010232E-2</v>
      </c>
      <c r="AI7" s="40">
        <f t="shared" si="13"/>
        <v>6.0000000000002274E-2</v>
      </c>
      <c r="AK7" s="130">
        <f t="shared" si="3"/>
        <v>10.06</v>
      </c>
      <c r="AL7" s="130">
        <f t="shared" si="3"/>
        <v>14.06</v>
      </c>
      <c r="AM7" s="40"/>
      <c r="AN7" s="40">
        <f t="shared" si="14"/>
        <v>67.02</v>
      </c>
      <c r="AO7" s="40">
        <f t="shared" si="15"/>
        <v>93.66</v>
      </c>
      <c r="AP7" s="40"/>
      <c r="AQ7" s="144">
        <f t="shared" si="4"/>
        <v>9.999999999999995E-2</v>
      </c>
      <c r="AR7" s="144">
        <f t="shared" si="4"/>
        <v>0.10000000000000002</v>
      </c>
      <c r="AS7" s="40"/>
      <c r="AT7" s="146">
        <f t="shared" si="5"/>
        <v>0.39988066825775653</v>
      </c>
      <c r="AU7" s="146">
        <f t="shared" si="5"/>
        <v>0.39974391805377718</v>
      </c>
      <c r="AV7" s="40"/>
      <c r="AW7" s="76">
        <f t="shared" si="6"/>
        <v>0.5</v>
      </c>
      <c r="AX7" s="76">
        <f t="shared" si="6"/>
        <v>0.5</v>
      </c>
      <c r="AY7" s="42"/>
      <c r="AZ7" s="42">
        <f t="shared" si="7"/>
        <v>83.779999999999987</v>
      </c>
      <c r="BA7" s="42">
        <f t="shared" si="7"/>
        <v>117.09</v>
      </c>
      <c r="BB7" s="42"/>
      <c r="BC7" s="76">
        <f t="shared" si="8"/>
        <v>0.49988066825775651</v>
      </c>
      <c r="BD7" s="76">
        <f t="shared" si="8"/>
        <v>0.49974391805377721</v>
      </c>
      <c r="BE7" s="42"/>
    </row>
    <row r="8" spans="1:57" x14ac:dyDescent="0.25">
      <c r="A8" t="s">
        <v>136</v>
      </c>
      <c r="D8" s="162">
        <f>ROUND('AMT Gold Standard from 24 Feb26'!D8+'AMT Gold Inc Cruise - 24 Feb26'!$B$57,2)</f>
        <v>87.28</v>
      </c>
      <c r="E8" s="162">
        <f>ROUND('AMT Gold Standard from 24 Feb26'!E8+'AMT Gold Inc Cruise - 24 Feb26'!$B$58,2)</f>
        <v>120.67</v>
      </c>
      <c r="F8" s="81"/>
      <c r="G8" s="153">
        <f t="shared" si="0"/>
        <v>104.736</v>
      </c>
      <c r="H8" s="153">
        <f t="shared" si="0"/>
        <v>144.804</v>
      </c>
      <c r="J8" s="155">
        <f t="shared" si="16"/>
        <v>17.456000000000003</v>
      </c>
      <c r="K8" s="155">
        <f t="shared" si="16"/>
        <v>24.134</v>
      </c>
      <c r="M8" s="134">
        <f t="shared" si="9"/>
        <v>115.214</v>
      </c>
      <c r="N8" s="134">
        <f t="shared" si="9"/>
        <v>159.28000000000003</v>
      </c>
      <c r="P8" s="134">
        <f t="shared" si="17"/>
        <v>27.933999999999997</v>
      </c>
      <c r="Q8" s="134">
        <f t="shared" si="17"/>
        <v>38.610000000000028</v>
      </c>
      <c r="S8" s="141">
        <f t="shared" si="1"/>
        <v>9.9965627864344639E-2</v>
      </c>
      <c r="T8" s="141">
        <f t="shared" si="1"/>
        <v>9.9997237645368914E-2</v>
      </c>
      <c r="V8" s="41">
        <f t="shared" si="2"/>
        <v>174.56</v>
      </c>
      <c r="W8" s="41">
        <f t="shared" si="2"/>
        <v>241.34</v>
      </c>
      <c r="Y8" s="41">
        <f t="shared" si="10"/>
        <v>209.47</v>
      </c>
      <c r="Z8" s="41">
        <f t="shared" si="10"/>
        <v>289.61</v>
      </c>
      <c r="AB8" s="182">
        <f t="shared" si="11"/>
        <v>209.4</v>
      </c>
      <c r="AC8" s="182">
        <f t="shared" si="11"/>
        <v>289.60000000000002</v>
      </c>
      <c r="AE8" s="40">
        <f t="shared" si="12"/>
        <v>174.5</v>
      </c>
      <c r="AF8" s="40">
        <f t="shared" si="12"/>
        <v>241.33333333333337</v>
      </c>
      <c r="AH8" s="40">
        <f t="shared" si="13"/>
        <v>6.9999999999993179E-2</v>
      </c>
      <c r="AI8" s="40">
        <f t="shared" si="13"/>
        <v>9.9999999999909051E-3</v>
      </c>
      <c r="AK8" s="130">
        <f t="shared" si="3"/>
        <v>10.47</v>
      </c>
      <c r="AL8" s="130">
        <f t="shared" si="3"/>
        <v>14.48</v>
      </c>
      <c r="AM8" s="40"/>
      <c r="AN8" s="40">
        <f t="shared" si="14"/>
        <v>69.754000000000005</v>
      </c>
      <c r="AO8" s="40">
        <f t="shared" si="15"/>
        <v>96.52600000000001</v>
      </c>
      <c r="AP8" s="40"/>
      <c r="AQ8" s="144">
        <f t="shared" si="4"/>
        <v>0.10000000000000002</v>
      </c>
      <c r="AR8" s="144">
        <f t="shared" si="4"/>
        <v>0.1</v>
      </c>
      <c r="AS8" s="40"/>
      <c r="AT8" s="146">
        <f t="shared" si="5"/>
        <v>0.39959899175068747</v>
      </c>
      <c r="AU8" s="146">
        <f t="shared" si="5"/>
        <v>0.3999585646805337</v>
      </c>
      <c r="AV8" s="40"/>
      <c r="AW8" s="76">
        <f t="shared" si="6"/>
        <v>0.5</v>
      </c>
      <c r="AX8" s="76">
        <f t="shared" si="6"/>
        <v>0.5</v>
      </c>
      <c r="AY8" s="42"/>
      <c r="AZ8" s="42">
        <f t="shared" si="7"/>
        <v>87.210000000000008</v>
      </c>
      <c r="BA8" s="42">
        <f t="shared" si="7"/>
        <v>120.66000000000001</v>
      </c>
      <c r="BB8" s="42"/>
      <c r="BC8" s="76">
        <f t="shared" si="8"/>
        <v>0.4995989917506875</v>
      </c>
      <c r="BD8" s="76">
        <f t="shared" si="8"/>
        <v>0.49995856468053373</v>
      </c>
      <c r="BE8" s="42"/>
    </row>
    <row r="9" spans="1:57" x14ac:dyDescent="0.25">
      <c r="A9"/>
      <c r="D9" s="162"/>
      <c r="E9" s="162"/>
      <c r="F9" s="41"/>
      <c r="G9" s="153"/>
      <c r="H9" s="153"/>
      <c r="I9" s="75"/>
      <c r="J9" s="156"/>
      <c r="K9" s="156"/>
      <c r="L9" s="75"/>
      <c r="M9" s="134"/>
      <c r="N9" s="134"/>
      <c r="P9" s="134"/>
      <c r="Q9" s="134"/>
      <c r="S9" s="140"/>
      <c r="T9" s="140"/>
      <c r="V9" s="40"/>
      <c r="W9" s="40"/>
      <c r="Y9" s="41"/>
      <c r="Z9" s="41"/>
      <c r="AK9" s="130"/>
      <c r="AL9" s="130"/>
      <c r="AM9" s="40"/>
      <c r="AN9" s="40"/>
      <c r="AO9" s="40"/>
      <c r="AP9" s="40"/>
      <c r="AQ9" s="145"/>
      <c r="AR9" s="145"/>
      <c r="AS9" s="40"/>
      <c r="AT9" s="146"/>
      <c r="AU9" s="146"/>
      <c r="AV9" s="40"/>
      <c r="AW9" s="76"/>
      <c r="AX9" s="76"/>
      <c r="AY9" s="42"/>
      <c r="AZ9" s="42"/>
      <c r="BA9" s="42"/>
      <c r="BB9" s="42"/>
      <c r="BC9" s="76"/>
      <c r="BD9" s="76"/>
      <c r="BE9" s="42"/>
    </row>
    <row r="10" spans="1:57" x14ac:dyDescent="0.25">
      <c r="A10" s="167" t="s">
        <v>137</v>
      </c>
      <c r="B10" s="4"/>
      <c r="D10" s="162"/>
      <c r="E10" s="162"/>
      <c r="F10" s="41"/>
      <c r="G10" s="153"/>
      <c r="H10" s="153"/>
      <c r="J10" s="154"/>
      <c r="K10" s="154"/>
      <c r="M10" s="134"/>
      <c r="N10" s="134"/>
      <c r="P10" s="134"/>
      <c r="Q10" s="134"/>
      <c r="S10" s="140"/>
      <c r="T10" s="140"/>
      <c r="V10" s="40"/>
      <c r="W10" s="40"/>
      <c r="Y10" s="41"/>
      <c r="Z10" s="41"/>
      <c r="AK10" s="130"/>
      <c r="AL10" s="130"/>
      <c r="AM10" s="40"/>
      <c r="AN10" s="40"/>
      <c r="AO10" s="40"/>
      <c r="AP10" s="40"/>
      <c r="AQ10" s="145"/>
      <c r="AR10" s="145"/>
      <c r="AS10" s="40"/>
      <c r="AT10" s="146"/>
      <c r="AU10" s="146"/>
      <c r="AV10" s="40"/>
      <c r="AW10" s="76"/>
      <c r="AX10" s="76"/>
      <c r="AY10" s="42"/>
      <c r="AZ10" s="42"/>
      <c r="BA10" s="42"/>
      <c r="BB10" s="42"/>
      <c r="BC10" s="76"/>
      <c r="BD10" s="76"/>
      <c r="BE10" s="42"/>
    </row>
    <row r="11" spans="1:57" x14ac:dyDescent="0.25">
      <c r="A11" t="s">
        <v>133</v>
      </c>
      <c r="D11" s="162">
        <f>ROUND('AMT Gold Standard from 24 Feb26'!D11+'AMT Gold Inc Cruise - 24 Feb26'!$B$57,2)</f>
        <v>50.67</v>
      </c>
      <c r="E11" s="162">
        <f>ROUND('AMT Gold Standard from 24 Feb26'!E11+'AMT Gold Inc Cruise - 24 Feb26'!$B$58,2)</f>
        <v>69.73</v>
      </c>
      <c r="F11" s="81"/>
      <c r="G11" s="153">
        <f t="shared" ref="G11:H14" si="18">D11*SUM(1+$G$1/$Y$1)</f>
        <v>60.804000000000002</v>
      </c>
      <c r="H11" s="153">
        <f t="shared" si="18"/>
        <v>83.676000000000002</v>
      </c>
      <c r="J11" s="155">
        <f t="shared" ref="J11:K14" si="19">G11-D11</f>
        <v>10.134</v>
      </c>
      <c r="K11" s="155">
        <f t="shared" si="19"/>
        <v>13.945999999999998</v>
      </c>
      <c r="M11" s="134">
        <f>ROUND(D11*(1+$G$1*2),2)*SUM(1+$M$1)</f>
        <v>66.88</v>
      </c>
      <c r="N11" s="134">
        <f>ROUND(E11*(1+$G$1*2),2)*SUM(1+$M$1)</f>
        <v>92.048000000000016</v>
      </c>
      <c r="P11" s="134">
        <f t="shared" ref="P11:Q14" si="20">M11-D11</f>
        <v>16.209999999999994</v>
      </c>
      <c r="Q11" s="134">
        <f t="shared" si="20"/>
        <v>22.318000000000012</v>
      </c>
      <c r="S11" s="141">
        <f t="shared" ref="S11:T14" si="21">AK11/G11</f>
        <v>9.9993421485428585E-2</v>
      </c>
      <c r="T11" s="141">
        <f t="shared" si="21"/>
        <v>0.10002868205937185</v>
      </c>
      <c r="V11" s="41">
        <f t="shared" ref="V11:W14" si="22">SUM(D11/(1-$Y$1))</f>
        <v>101.34</v>
      </c>
      <c r="W11" s="41">
        <f t="shared" si="22"/>
        <v>139.46</v>
      </c>
      <c r="Y11" s="41">
        <f>ROUND(D11/(1-$Y$1)*1.2,2)</f>
        <v>121.61</v>
      </c>
      <c r="Z11" s="41">
        <f>ROUND(E11/(1-$Y$1)*1.2,2)</f>
        <v>167.35</v>
      </c>
      <c r="AB11" s="182">
        <f t="shared" ref="AB11:AC14" si="23">ROUNDDOWN(D11/(1-$Y$1)*1.2,1)</f>
        <v>121.6</v>
      </c>
      <c r="AC11" s="182">
        <f t="shared" si="23"/>
        <v>167.3</v>
      </c>
      <c r="AE11" s="40">
        <f t="shared" ref="AE11:AF14" si="24">AB11/1.2</f>
        <v>101.33333333333333</v>
      </c>
      <c r="AF11" s="40">
        <f t="shared" si="24"/>
        <v>139.41666666666669</v>
      </c>
      <c r="AH11" s="40">
        <f t="shared" ref="AH11:AI14" si="25">Y11-AB11</f>
        <v>1.0000000000005116E-2</v>
      </c>
      <c r="AI11" s="40">
        <f t="shared" si="25"/>
        <v>4.9999999999982947E-2</v>
      </c>
      <c r="AK11" s="130">
        <f t="shared" ref="AK11:AL14" si="26">ROUND(M11*(1-(1/(1+$AL$1))),2)</f>
        <v>6.08</v>
      </c>
      <c r="AL11" s="130">
        <f t="shared" si="26"/>
        <v>8.3699999999999992</v>
      </c>
      <c r="AM11" s="40"/>
      <c r="AN11" s="40">
        <f t="shared" ref="AN11:AN14" si="27">SUM(V11-G11)-AH11</f>
        <v>40.525999999999996</v>
      </c>
      <c r="AO11" s="40">
        <f t="shared" ref="AO11:AO14" si="28">SUM(W11-H11)-AI11</f>
        <v>55.734000000000023</v>
      </c>
      <c r="AP11" s="40"/>
      <c r="AQ11" s="144">
        <f t="shared" ref="AQ11:AR14" si="29">(SUM(G11-D11)/D11*$Y$1)</f>
        <v>0.1</v>
      </c>
      <c r="AR11" s="144">
        <f t="shared" si="29"/>
        <v>9.9999999999999978E-2</v>
      </c>
      <c r="AS11" s="40"/>
      <c r="AT11" s="146">
        <f t="shared" ref="AT11:AU14" si="30">AN11/V11</f>
        <v>0.39990132228142883</v>
      </c>
      <c r="AU11" s="146">
        <f t="shared" si="30"/>
        <v>0.39964147425785185</v>
      </c>
      <c r="AV11" s="40"/>
      <c r="AW11" s="76">
        <f t="shared" ref="AW11:AX14" si="31">D11/V11</f>
        <v>0.5</v>
      </c>
      <c r="AX11" s="76">
        <f t="shared" si="31"/>
        <v>0.5</v>
      </c>
      <c r="AY11" s="42"/>
      <c r="AZ11" s="42">
        <f t="shared" ref="AZ11:BA14" si="32">J11+AN11</f>
        <v>50.66</v>
      </c>
      <c r="BA11" s="42">
        <f t="shared" si="32"/>
        <v>69.680000000000021</v>
      </c>
      <c r="BB11" s="42"/>
      <c r="BC11" s="76">
        <f t="shared" ref="BC11:BD14" si="33">AZ11/(D11/$Y$1)</f>
        <v>0.49990132228142881</v>
      </c>
      <c r="BD11" s="76">
        <f t="shared" si="33"/>
        <v>0.49964147425785183</v>
      </c>
      <c r="BE11" s="42"/>
    </row>
    <row r="12" spans="1:57" x14ac:dyDescent="0.25">
      <c r="A12" t="s">
        <v>134</v>
      </c>
      <c r="D12" s="162">
        <f>ROUND('AMT Gold Standard from 24 Feb26'!D12+'AMT Gold Inc Cruise - 24 Feb26'!$B$57,2)</f>
        <v>75.12</v>
      </c>
      <c r="E12" s="162">
        <f>ROUND('AMT Gold Standard from 24 Feb26'!E12+'AMT Gold Inc Cruise - 24 Feb26'!$B$58,2)</f>
        <v>102.78</v>
      </c>
      <c r="F12" s="81"/>
      <c r="G12" s="153">
        <f t="shared" si="18"/>
        <v>90.144000000000005</v>
      </c>
      <c r="H12" s="153">
        <f t="shared" si="18"/>
        <v>123.336</v>
      </c>
      <c r="J12" s="155">
        <f t="shared" si="19"/>
        <v>15.024000000000001</v>
      </c>
      <c r="K12" s="155">
        <f t="shared" si="19"/>
        <v>20.555999999999997</v>
      </c>
      <c r="M12" s="134">
        <f>ROUND(D12*(1+$G$1*2),2)*SUM(1+$M$1)</f>
        <v>99.154000000000011</v>
      </c>
      <c r="N12" s="134">
        <f t="shared" ref="M12:N14" si="34">ROUND(E12*(1+$G$1*2),2)*SUM(1+$M$1)</f>
        <v>135.67400000000001</v>
      </c>
      <c r="P12" s="134">
        <f t="shared" si="20"/>
        <v>24.034000000000006</v>
      </c>
      <c r="Q12" s="134">
        <f t="shared" si="20"/>
        <v>32.894000000000005</v>
      </c>
      <c r="S12" s="141">
        <f t="shared" si="21"/>
        <v>9.99511892083777E-2</v>
      </c>
      <c r="T12" s="141">
        <f t="shared" si="21"/>
        <v>9.9970811441914775E-2</v>
      </c>
      <c r="V12" s="41">
        <f t="shared" si="22"/>
        <v>150.24</v>
      </c>
      <c r="W12" s="41">
        <f t="shared" si="22"/>
        <v>205.56</v>
      </c>
      <c r="Y12" s="41">
        <f t="shared" ref="Y12:Z14" si="35">ROUND(D12/(1-$Y$1)*1.2,2)</f>
        <v>180.29</v>
      </c>
      <c r="Z12" s="41">
        <f t="shared" si="35"/>
        <v>246.67</v>
      </c>
      <c r="AB12" s="182">
        <f t="shared" si="23"/>
        <v>180.2</v>
      </c>
      <c r="AC12" s="182">
        <f t="shared" si="23"/>
        <v>246.6</v>
      </c>
      <c r="AE12" s="40">
        <f t="shared" si="24"/>
        <v>150.16666666666666</v>
      </c>
      <c r="AF12" s="40">
        <f t="shared" si="24"/>
        <v>205.5</v>
      </c>
      <c r="AH12" s="40">
        <f t="shared" si="25"/>
        <v>9.0000000000003411E-2</v>
      </c>
      <c r="AI12" s="40">
        <f t="shared" si="25"/>
        <v>6.9999999999993179E-2</v>
      </c>
      <c r="AK12" s="130">
        <f t="shared" si="26"/>
        <v>9.01</v>
      </c>
      <c r="AL12" s="130">
        <f t="shared" si="26"/>
        <v>12.33</v>
      </c>
      <c r="AM12" s="40"/>
      <c r="AN12" s="40">
        <f t="shared" si="27"/>
        <v>60.006</v>
      </c>
      <c r="AO12" s="40">
        <f t="shared" si="28"/>
        <v>82.154000000000011</v>
      </c>
      <c r="AP12" s="40"/>
      <c r="AQ12" s="144">
        <f t="shared" si="29"/>
        <v>0.1</v>
      </c>
      <c r="AR12" s="144">
        <f t="shared" si="29"/>
        <v>9.9999999999999992E-2</v>
      </c>
      <c r="AS12" s="40"/>
      <c r="AT12" s="146">
        <f t="shared" si="30"/>
        <v>0.39940095846645363</v>
      </c>
      <c r="AU12" s="146">
        <f t="shared" si="30"/>
        <v>0.39965946682233905</v>
      </c>
      <c r="AV12" s="40"/>
      <c r="AW12" s="76">
        <f t="shared" si="31"/>
        <v>0.5</v>
      </c>
      <c r="AX12" s="76">
        <f t="shared" si="31"/>
        <v>0.5</v>
      </c>
      <c r="AY12" s="42"/>
      <c r="AZ12" s="42">
        <f t="shared" si="32"/>
        <v>75.03</v>
      </c>
      <c r="BA12" s="42">
        <f t="shared" si="32"/>
        <v>102.71000000000001</v>
      </c>
      <c r="BB12" s="42"/>
      <c r="BC12" s="76">
        <f t="shared" si="33"/>
        <v>0.49940095846645366</v>
      </c>
      <c r="BD12" s="76">
        <f t="shared" si="33"/>
        <v>0.49965946682233903</v>
      </c>
      <c r="BE12" s="42"/>
    </row>
    <row r="13" spans="1:57" x14ac:dyDescent="0.25">
      <c r="A13" t="s">
        <v>135</v>
      </c>
      <c r="D13" s="162">
        <f>ROUND('AMT Gold Standard from 24 Feb26'!D13+'AMT Gold Inc Cruise - 24 Feb26'!$B$57,2)</f>
        <v>83.8</v>
      </c>
      <c r="E13" s="162">
        <f>ROUND('AMT Gold Standard from 24 Feb26'!E13+'AMT Gold Inc Cruise - 24 Feb26'!$B$58,2)</f>
        <v>117.15</v>
      </c>
      <c r="F13" s="81"/>
      <c r="G13" s="153">
        <f t="shared" si="18"/>
        <v>100.55999999999999</v>
      </c>
      <c r="H13" s="153">
        <f t="shared" si="18"/>
        <v>140.58000000000001</v>
      </c>
      <c r="J13" s="155">
        <f t="shared" si="19"/>
        <v>16.759999999999991</v>
      </c>
      <c r="K13" s="155">
        <f t="shared" si="19"/>
        <v>23.430000000000007</v>
      </c>
      <c r="M13" s="134">
        <f t="shared" si="34"/>
        <v>110.61600000000001</v>
      </c>
      <c r="N13" s="134">
        <f t="shared" si="34"/>
        <v>154.63800000000003</v>
      </c>
      <c r="P13" s="134">
        <f t="shared" si="20"/>
        <v>26.816000000000017</v>
      </c>
      <c r="Q13" s="134">
        <f t="shared" si="20"/>
        <v>37.488000000000028</v>
      </c>
      <c r="S13" s="141">
        <f t="shared" si="21"/>
        <v>0.1000397772474145</v>
      </c>
      <c r="T13" s="141">
        <f t="shared" si="21"/>
        <v>0.10001422677479015</v>
      </c>
      <c r="V13" s="41">
        <f t="shared" si="22"/>
        <v>167.6</v>
      </c>
      <c r="W13" s="41">
        <f t="shared" si="22"/>
        <v>234.3</v>
      </c>
      <c r="Y13" s="41">
        <f t="shared" si="35"/>
        <v>201.12</v>
      </c>
      <c r="Z13" s="41">
        <f t="shared" si="35"/>
        <v>281.16000000000003</v>
      </c>
      <c r="AB13" s="182">
        <f t="shared" si="23"/>
        <v>201.1</v>
      </c>
      <c r="AC13" s="182">
        <f t="shared" si="23"/>
        <v>281.10000000000002</v>
      </c>
      <c r="AE13" s="40">
        <f t="shared" si="24"/>
        <v>167.58333333333334</v>
      </c>
      <c r="AF13" s="40">
        <f t="shared" si="24"/>
        <v>234.25000000000003</v>
      </c>
      <c r="AH13" s="40">
        <f t="shared" si="25"/>
        <v>2.0000000000010232E-2</v>
      </c>
      <c r="AI13" s="40">
        <f t="shared" si="25"/>
        <v>6.0000000000002274E-2</v>
      </c>
      <c r="AK13" s="130">
        <f t="shared" si="26"/>
        <v>10.06</v>
      </c>
      <c r="AL13" s="130">
        <f t="shared" si="26"/>
        <v>14.06</v>
      </c>
      <c r="AM13" s="40"/>
      <c r="AN13" s="40">
        <f t="shared" si="27"/>
        <v>67.02</v>
      </c>
      <c r="AO13" s="40">
        <f t="shared" si="28"/>
        <v>93.66</v>
      </c>
      <c r="AP13" s="40"/>
      <c r="AQ13" s="144">
        <f t="shared" si="29"/>
        <v>9.999999999999995E-2</v>
      </c>
      <c r="AR13" s="144">
        <f t="shared" si="29"/>
        <v>0.10000000000000002</v>
      </c>
      <c r="AS13" s="40"/>
      <c r="AT13" s="146">
        <f t="shared" si="30"/>
        <v>0.39988066825775653</v>
      </c>
      <c r="AU13" s="146">
        <f t="shared" si="30"/>
        <v>0.39974391805377718</v>
      </c>
      <c r="AV13" s="40"/>
      <c r="AW13" s="76">
        <f t="shared" si="31"/>
        <v>0.5</v>
      </c>
      <c r="AX13" s="76">
        <f t="shared" si="31"/>
        <v>0.5</v>
      </c>
      <c r="AY13" s="42"/>
      <c r="AZ13" s="42">
        <f t="shared" si="32"/>
        <v>83.779999999999987</v>
      </c>
      <c r="BA13" s="42">
        <f t="shared" si="32"/>
        <v>117.09</v>
      </c>
      <c r="BB13" s="42"/>
      <c r="BC13" s="76">
        <f t="shared" si="33"/>
        <v>0.49988066825775651</v>
      </c>
      <c r="BD13" s="76">
        <f t="shared" si="33"/>
        <v>0.49974391805377721</v>
      </c>
      <c r="BE13" s="42"/>
    </row>
    <row r="14" spans="1:57" x14ac:dyDescent="0.25">
      <c r="A14" t="s">
        <v>136</v>
      </c>
      <c r="D14" s="162">
        <f>ROUND('AMT Gold Standard from 24 Feb26'!D14+'AMT Gold Inc Cruise - 24 Feb26'!$B$57,2)</f>
        <v>87.28</v>
      </c>
      <c r="E14" s="162">
        <f>ROUND('AMT Gold Standard from 24 Feb26'!E14+'AMT Gold Inc Cruise - 24 Feb26'!$B$58,2)</f>
        <v>120.67</v>
      </c>
      <c r="F14" s="81"/>
      <c r="G14" s="153">
        <f t="shared" si="18"/>
        <v>104.736</v>
      </c>
      <c r="H14" s="153">
        <f t="shared" si="18"/>
        <v>144.804</v>
      </c>
      <c r="J14" s="155">
        <f t="shared" si="19"/>
        <v>17.456000000000003</v>
      </c>
      <c r="K14" s="155">
        <f t="shared" si="19"/>
        <v>24.134</v>
      </c>
      <c r="M14" s="134">
        <f t="shared" si="34"/>
        <v>115.214</v>
      </c>
      <c r="N14" s="134">
        <f t="shared" si="34"/>
        <v>159.28000000000003</v>
      </c>
      <c r="P14" s="134">
        <f t="shared" si="20"/>
        <v>27.933999999999997</v>
      </c>
      <c r="Q14" s="134">
        <f t="shared" si="20"/>
        <v>38.610000000000028</v>
      </c>
      <c r="S14" s="141">
        <f t="shared" si="21"/>
        <v>9.9965627864344639E-2</v>
      </c>
      <c r="T14" s="141">
        <f t="shared" si="21"/>
        <v>9.9997237645368914E-2</v>
      </c>
      <c r="V14" s="41">
        <f t="shared" si="22"/>
        <v>174.56</v>
      </c>
      <c r="W14" s="41">
        <f t="shared" si="22"/>
        <v>241.34</v>
      </c>
      <c r="Y14" s="41">
        <f t="shared" si="35"/>
        <v>209.47</v>
      </c>
      <c r="Z14" s="41">
        <f t="shared" si="35"/>
        <v>289.61</v>
      </c>
      <c r="AB14" s="182">
        <f t="shared" si="23"/>
        <v>209.4</v>
      </c>
      <c r="AC14" s="182">
        <f t="shared" si="23"/>
        <v>289.60000000000002</v>
      </c>
      <c r="AE14" s="40">
        <f t="shared" si="24"/>
        <v>174.5</v>
      </c>
      <c r="AF14" s="40">
        <f t="shared" si="24"/>
        <v>241.33333333333337</v>
      </c>
      <c r="AH14" s="40">
        <f t="shared" si="25"/>
        <v>6.9999999999993179E-2</v>
      </c>
      <c r="AI14" s="40">
        <f t="shared" si="25"/>
        <v>9.9999999999909051E-3</v>
      </c>
      <c r="AK14" s="130">
        <f t="shared" si="26"/>
        <v>10.47</v>
      </c>
      <c r="AL14" s="130">
        <f t="shared" si="26"/>
        <v>14.48</v>
      </c>
      <c r="AM14" s="40"/>
      <c r="AN14" s="40">
        <f t="shared" si="27"/>
        <v>69.754000000000005</v>
      </c>
      <c r="AO14" s="40">
        <f t="shared" si="28"/>
        <v>96.52600000000001</v>
      </c>
      <c r="AP14" s="40"/>
      <c r="AQ14" s="144">
        <f t="shared" si="29"/>
        <v>0.10000000000000002</v>
      </c>
      <c r="AR14" s="144">
        <f t="shared" si="29"/>
        <v>0.1</v>
      </c>
      <c r="AS14" s="40"/>
      <c r="AT14" s="146">
        <f t="shared" si="30"/>
        <v>0.39959899175068747</v>
      </c>
      <c r="AU14" s="146">
        <f t="shared" si="30"/>
        <v>0.3999585646805337</v>
      </c>
      <c r="AV14" s="40"/>
      <c r="AW14" s="76">
        <f t="shared" si="31"/>
        <v>0.5</v>
      </c>
      <c r="AX14" s="76">
        <f t="shared" si="31"/>
        <v>0.5</v>
      </c>
      <c r="AY14" s="42"/>
      <c r="AZ14" s="42">
        <f t="shared" si="32"/>
        <v>87.210000000000008</v>
      </c>
      <c r="BA14" s="42">
        <f t="shared" si="32"/>
        <v>120.66000000000001</v>
      </c>
      <c r="BB14" s="42"/>
      <c r="BC14" s="76">
        <f t="shared" si="33"/>
        <v>0.4995989917506875</v>
      </c>
      <c r="BD14" s="76">
        <f t="shared" si="33"/>
        <v>0.49995856468053373</v>
      </c>
      <c r="BE14" s="42"/>
    </row>
    <row r="15" spans="1:57" x14ac:dyDescent="0.25">
      <c r="A15"/>
      <c r="D15" s="150"/>
      <c r="E15" s="150"/>
      <c r="F15" s="41"/>
      <c r="G15" s="153"/>
      <c r="H15" s="153"/>
      <c r="J15" s="154"/>
      <c r="K15" s="154"/>
      <c r="M15" s="134"/>
      <c r="N15" s="134"/>
      <c r="P15" s="134"/>
      <c r="Q15" s="134"/>
      <c r="S15" s="140"/>
      <c r="T15" s="140"/>
      <c r="V15" s="40"/>
      <c r="W15" s="40"/>
      <c r="Y15" s="41"/>
      <c r="Z15" s="41"/>
      <c r="AK15" s="130"/>
      <c r="AL15" s="130"/>
      <c r="AM15" s="40"/>
      <c r="AN15" s="40"/>
      <c r="AO15" s="40"/>
      <c r="AP15" s="40"/>
      <c r="AQ15" s="145"/>
      <c r="AR15" s="145"/>
      <c r="AS15" s="40"/>
      <c r="AT15" s="146"/>
      <c r="AU15" s="146"/>
      <c r="AV15" s="40"/>
      <c r="AW15" s="76"/>
      <c r="AX15" s="76"/>
      <c r="AY15" s="42"/>
      <c r="AZ15" s="42"/>
      <c r="BA15" s="42"/>
      <c r="BB15" s="42"/>
      <c r="BC15" s="76"/>
      <c r="BD15" s="76"/>
      <c r="BE15" s="42"/>
    </row>
    <row r="16" spans="1:57" x14ac:dyDescent="0.25">
      <c r="A16" s="167" t="s">
        <v>138</v>
      </c>
      <c r="B16" s="4"/>
      <c r="D16" s="149"/>
      <c r="E16" s="149"/>
      <c r="F16" s="41"/>
      <c r="G16" s="153"/>
      <c r="H16" s="153"/>
      <c r="J16" s="154"/>
      <c r="K16" s="154"/>
      <c r="M16" s="134"/>
      <c r="N16" s="134"/>
      <c r="P16" s="134"/>
      <c r="Q16" s="134"/>
      <c r="S16" s="140"/>
      <c r="T16" s="140"/>
      <c r="V16" s="40"/>
      <c r="W16" s="40"/>
      <c r="Y16" s="41"/>
      <c r="Z16" s="41"/>
      <c r="AK16" s="130"/>
      <c r="AL16" s="130"/>
      <c r="AM16" s="40"/>
      <c r="AN16" s="40"/>
      <c r="AO16" s="40"/>
      <c r="AP16" s="40"/>
      <c r="AQ16" s="145"/>
      <c r="AR16" s="145"/>
      <c r="AS16" s="40"/>
      <c r="AT16" s="146"/>
      <c r="AU16" s="146"/>
      <c r="AV16" s="40"/>
      <c r="AW16" s="76"/>
      <c r="AX16" s="76"/>
      <c r="AY16" s="42"/>
      <c r="AZ16" s="42"/>
      <c r="BA16" s="42"/>
      <c r="BB16" s="42"/>
      <c r="BC16" s="76"/>
      <c r="BD16" s="76"/>
      <c r="BE16" s="42"/>
    </row>
    <row r="17" spans="1:57" x14ac:dyDescent="0.25">
      <c r="A17" t="s">
        <v>133</v>
      </c>
      <c r="D17" s="162">
        <f>ROUND('AMT Gold Standard from 24 Feb26'!D17+'AMT Gold Inc Cruise - 24 Feb26'!$B$57,2)</f>
        <v>111.96</v>
      </c>
      <c r="E17" s="162">
        <f>ROUND('AMT Gold Standard from 24 Feb26'!E17+'AMT Gold Inc Cruise - 24 Feb26'!$B$58,2)</f>
        <v>161.1</v>
      </c>
      <c r="F17" s="81"/>
      <c r="G17" s="153">
        <f t="shared" ref="G17:H20" si="36">D17*SUM(1+$G$1/$Y$1)</f>
        <v>134.35199999999998</v>
      </c>
      <c r="H17" s="153">
        <f t="shared" si="36"/>
        <v>193.32</v>
      </c>
      <c r="I17" s="83"/>
      <c r="J17" s="155">
        <f t="shared" ref="J17:K20" si="37">G17-D17</f>
        <v>22.391999999999982</v>
      </c>
      <c r="K17" s="155">
        <f t="shared" si="37"/>
        <v>32.22</v>
      </c>
      <c r="L17" s="83"/>
      <c r="M17" s="134">
        <f>ROUND(D17*(1+$G$1*2),2)*SUM(1+$M$1)</f>
        <v>147.785</v>
      </c>
      <c r="N17" s="134">
        <f>ROUND(E17*(1+$G$1*2),2)*SUM(1+$M$1)</f>
        <v>212.65200000000002</v>
      </c>
      <c r="P17" s="134">
        <f t="shared" ref="P17:Q20" si="38">M17-D17</f>
        <v>35.825000000000003</v>
      </c>
      <c r="Q17" s="134">
        <f t="shared" si="38"/>
        <v>51.552000000000021</v>
      </c>
      <c r="S17" s="141">
        <f t="shared" ref="S17:T20" si="39">AK17/G17</f>
        <v>0.10003572704537336</v>
      </c>
      <c r="T17" s="141">
        <f t="shared" si="39"/>
        <v>9.9989654458928198E-2</v>
      </c>
      <c r="V17" s="41">
        <f t="shared" ref="V17:W20" si="40">SUM(D17/(1-$Y$1))</f>
        <v>223.92</v>
      </c>
      <c r="W17" s="41">
        <f t="shared" si="40"/>
        <v>322.2</v>
      </c>
      <c r="Y17" s="41">
        <f>ROUND(D17/(1-$Y$1)*1.2,2)</f>
        <v>268.7</v>
      </c>
      <c r="Z17" s="41">
        <f>ROUND(E17/(1-$Y$1)*1.2,2)</f>
        <v>386.64</v>
      </c>
      <c r="AB17" s="182">
        <f t="shared" ref="AB17:AC20" si="41">ROUNDDOWN(D17/(1-$Y$1)*1.2,1)</f>
        <v>268.7</v>
      </c>
      <c r="AC17" s="182">
        <f t="shared" si="41"/>
        <v>386.6</v>
      </c>
      <c r="AE17" s="40">
        <f t="shared" ref="AE17:AF20" si="42">AB17/1.2</f>
        <v>223.91666666666666</v>
      </c>
      <c r="AF17" s="40">
        <f t="shared" si="42"/>
        <v>322.16666666666669</v>
      </c>
      <c r="AH17" s="40">
        <f t="shared" ref="AH17:AI20" si="43">Y17-AB17</f>
        <v>0</v>
      </c>
      <c r="AI17" s="40">
        <f t="shared" si="43"/>
        <v>3.999999999996362E-2</v>
      </c>
      <c r="AK17" s="130">
        <f t="shared" ref="AK17:AL20" si="44">ROUND(M17*(1-(1/(1+$AL$1))),2)</f>
        <v>13.44</v>
      </c>
      <c r="AL17" s="130">
        <f t="shared" si="44"/>
        <v>19.329999999999998</v>
      </c>
      <c r="AM17" s="40"/>
      <c r="AN17" s="40">
        <f t="shared" ref="AN17:AN20" si="45">SUM(V17-G17)-AH17</f>
        <v>89.568000000000012</v>
      </c>
      <c r="AO17" s="40">
        <f t="shared" ref="AO17:AO20" si="46">SUM(W17-H17)-AI17</f>
        <v>128.84000000000003</v>
      </c>
      <c r="AP17" s="40"/>
      <c r="AQ17" s="144">
        <f t="shared" ref="AQ17:AR20" si="47">(SUM(G17-D17)/D17*$Y$1)</f>
        <v>9.9999999999999922E-2</v>
      </c>
      <c r="AR17" s="144">
        <f t="shared" si="47"/>
        <v>0.1</v>
      </c>
      <c r="AS17" s="40"/>
      <c r="AT17" s="146">
        <f t="shared" ref="AT17:AU20" si="48">AN17/V17</f>
        <v>0.40000000000000008</v>
      </c>
      <c r="AU17" s="146">
        <f t="shared" si="48"/>
        <v>0.39987585350713856</v>
      </c>
      <c r="AV17" s="40"/>
      <c r="AW17" s="76">
        <f t="shared" ref="AW17:AX20" si="49">D17/V17</f>
        <v>0.5</v>
      </c>
      <c r="AX17" s="76">
        <f t="shared" si="49"/>
        <v>0.5</v>
      </c>
      <c r="AY17" s="42"/>
      <c r="AZ17" s="42">
        <f t="shared" ref="AZ17:BA20" si="50">J17+AN17</f>
        <v>111.96</v>
      </c>
      <c r="BA17" s="42">
        <f t="shared" si="50"/>
        <v>161.06000000000003</v>
      </c>
      <c r="BB17" s="42"/>
      <c r="BC17" s="76">
        <f t="shared" ref="BC17:BD20" si="51">AZ17/(D17/$Y$1)</f>
        <v>0.5</v>
      </c>
      <c r="BD17" s="76">
        <f t="shared" si="51"/>
        <v>0.49987585350713853</v>
      </c>
      <c r="BE17" s="42"/>
    </row>
    <row r="18" spans="1:57" x14ac:dyDescent="0.25">
      <c r="A18" t="s">
        <v>134</v>
      </c>
      <c r="D18" s="162">
        <f>ROUND('AMT Gold Standard from 24 Feb26'!D18+'AMT Gold Inc Cruise - 24 Feb26'!$B$57,2)</f>
        <v>167.04</v>
      </c>
      <c r="E18" s="162">
        <f>ROUND('AMT Gold Standard from 24 Feb26'!E18+'AMT Gold Inc Cruise - 24 Feb26'!$B$58,2)</f>
        <v>239.84</v>
      </c>
      <c r="F18" s="81"/>
      <c r="G18" s="153">
        <f t="shared" si="36"/>
        <v>200.44799999999998</v>
      </c>
      <c r="H18" s="153">
        <f t="shared" si="36"/>
        <v>287.80799999999999</v>
      </c>
      <c r="I18" s="83"/>
      <c r="J18" s="155">
        <f t="shared" si="37"/>
        <v>33.407999999999987</v>
      </c>
      <c r="K18" s="155">
        <f t="shared" si="37"/>
        <v>47.967999999999989</v>
      </c>
      <c r="L18" s="83"/>
      <c r="M18" s="134">
        <f t="shared" ref="M18:N20" si="52">ROUND(D18*(1+$G$1*2),2)*SUM(1+$M$1)</f>
        <v>220.495</v>
      </c>
      <c r="N18" s="134">
        <f t="shared" si="52"/>
        <v>316.59100000000001</v>
      </c>
      <c r="P18" s="134">
        <f t="shared" si="38"/>
        <v>53.455000000000013</v>
      </c>
      <c r="Q18" s="134">
        <f t="shared" si="38"/>
        <v>76.751000000000005</v>
      </c>
      <c r="S18" s="141">
        <f t="shared" si="39"/>
        <v>0.10002594189016605</v>
      </c>
      <c r="T18" s="141">
        <f t="shared" si="39"/>
        <v>9.9997220369134984E-2</v>
      </c>
      <c r="V18" s="41">
        <f t="shared" si="40"/>
        <v>334.08</v>
      </c>
      <c r="W18" s="41">
        <f t="shared" si="40"/>
        <v>479.68</v>
      </c>
      <c r="Y18" s="41">
        <f t="shared" ref="Y18:Z20" si="53">ROUND(D18/(1-$Y$1)*1.2,2)</f>
        <v>400.9</v>
      </c>
      <c r="Z18" s="41">
        <f t="shared" si="53"/>
        <v>575.62</v>
      </c>
      <c r="AB18" s="182">
        <f t="shared" si="41"/>
        <v>400.8</v>
      </c>
      <c r="AC18" s="182">
        <f t="shared" si="41"/>
        <v>575.6</v>
      </c>
      <c r="AE18" s="40">
        <f t="shared" si="42"/>
        <v>334</v>
      </c>
      <c r="AF18" s="40">
        <f t="shared" si="42"/>
        <v>479.66666666666669</v>
      </c>
      <c r="AH18" s="40">
        <f t="shared" si="43"/>
        <v>9.9999999999965894E-2</v>
      </c>
      <c r="AI18" s="40">
        <f t="shared" si="43"/>
        <v>1.999999999998181E-2</v>
      </c>
      <c r="AK18" s="130">
        <f t="shared" si="44"/>
        <v>20.05</v>
      </c>
      <c r="AL18" s="130">
        <f t="shared" si="44"/>
        <v>28.78</v>
      </c>
      <c r="AM18" s="40"/>
      <c r="AN18" s="40">
        <f t="shared" si="45"/>
        <v>133.53200000000004</v>
      </c>
      <c r="AO18" s="40">
        <f t="shared" si="46"/>
        <v>191.85200000000003</v>
      </c>
      <c r="AP18" s="40"/>
      <c r="AQ18" s="144">
        <f t="shared" si="47"/>
        <v>9.9999999999999964E-2</v>
      </c>
      <c r="AR18" s="144">
        <f t="shared" si="47"/>
        <v>9.9999999999999978E-2</v>
      </c>
      <c r="AS18" s="40"/>
      <c r="AT18" s="146">
        <f t="shared" si="48"/>
        <v>0.39970067049808444</v>
      </c>
      <c r="AU18" s="146">
        <f t="shared" si="48"/>
        <v>0.39995830553702477</v>
      </c>
      <c r="AV18" s="40"/>
      <c r="AW18" s="76">
        <f t="shared" si="49"/>
        <v>0.5</v>
      </c>
      <c r="AX18" s="76">
        <f t="shared" si="49"/>
        <v>0.5</v>
      </c>
      <c r="AY18" s="42"/>
      <c r="AZ18" s="42">
        <f t="shared" si="50"/>
        <v>166.94000000000003</v>
      </c>
      <c r="BA18" s="42">
        <f t="shared" si="50"/>
        <v>239.82000000000002</v>
      </c>
      <c r="BB18" s="42"/>
      <c r="BC18" s="76">
        <f t="shared" si="51"/>
        <v>0.49970067049808442</v>
      </c>
      <c r="BD18" s="76">
        <f t="shared" si="51"/>
        <v>0.49995830553702469</v>
      </c>
      <c r="BE18" s="42"/>
    </row>
    <row r="19" spans="1:57" x14ac:dyDescent="0.25">
      <c r="A19" t="s">
        <v>135</v>
      </c>
      <c r="D19" s="162">
        <f>ROUND('AMT Gold Standard from 24 Feb26'!D19+'AMT Gold Inc Cruise - 24 Feb26'!$B$57,2)</f>
        <v>178.36</v>
      </c>
      <c r="E19" s="162">
        <f>ROUND('AMT Gold Standard from 24 Feb26'!E19+'AMT Gold Inc Cruise - 24 Feb26'!$B$58,2)</f>
        <v>260.74</v>
      </c>
      <c r="F19" s="81"/>
      <c r="G19" s="153">
        <f t="shared" si="36"/>
        <v>214.03200000000001</v>
      </c>
      <c r="H19" s="153">
        <f t="shared" si="36"/>
        <v>312.88799999999998</v>
      </c>
      <c r="J19" s="155">
        <f t="shared" si="37"/>
        <v>35.671999999999997</v>
      </c>
      <c r="K19" s="155">
        <f t="shared" si="37"/>
        <v>52.147999999999968</v>
      </c>
      <c r="M19" s="134">
        <f t="shared" si="52"/>
        <v>235.43300000000002</v>
      </c>
      <c r="N19" s="134">
        <f t="shared" si="52"/>
        <v>344.17900000000003</v>
      </c>
      <c r="P19" s="134">
        <f t="shared" si="38"/>
        <v>57.073000000000008</v>
      </c>
      <c r="Q19" s="134">
        <f t="shared" si="38"/>
        <v>83.439000000000021</v>
      </c>
      <c r="S19" s="141">
        <f t="shared" si="39"/>
        <v>9.9985048964640791E-2</v>
      </c>
      <c r="T19" s="141">
        <f t="shared" si="39"/>
        <v>0.10000383523816829</v>
      </c>
      <c r="V19" s="41">
        <f t="shared" si="40"/>
        <v>356.72</v>
      </c>
      <c r="W19" s="41">
        <f t="shared" si="40"/>
        <v>521.48</v>
      </c>
      <c r="Y19" s="41">
        <f t="shared" si="53"/>
        <v>428.06</v>
      </c>
      <c r="Z19" s="41">
        <f t="shared" si="53"/>
        <v>625.78</v>
      </c>
      <c r="AB19" s="182">
        <f t="shared" si="41"/>
        <v>428</v>
      </c>
      <c r="AC19" s="182">
        <f t="shared" si="41"/>
        <v>625.70000000000005</v>
      </c>
      <c r="AE19" s="40">
        <f t="shared" si="42"/>
        <v>356.66666666666669</v>
      </c>
      <c r="AF19" s="40">
        <f t="shared" si="42"/>
        <v>521.41666666666674</v>
      </c>
      <c r="AH19" s="40">
        <f t="shared" si="43"/>
        <v>6.0000000000002274E-2</v>
      </c>
      <c r="AI19" s="40">
        <f t="shared" si="43"/>
        <v>7.999999999992724E-2</v>
      </c>
      <c r="AK19" s="130">
        <f t="shared" si="44"/>
        <v>21.4</v>
      </c>
      <c r="AL19" s="130">
        <f t="shared" si="44"/>
        <v>31.29</v>
      </c>
      <c r="AM19" s="40"/>
      <c r="AN19" s="40">
        <f t="shared" si="45"/>
        <v>142.62800000000001</v>
      </c>
      <c r="AO19" s="40">
        <f t="shared" si="46"/>
        <v>208.51200000000011</v>
      </c>
      <c r="AP19" s="40"/>
      <c r="AQ19" s="144">
        <f t="shared" si="47"/>
        <v>9.9999999999999978E-2</v>
      </c>
      <c r="AR19" s="144">
        <f t="shared" si="47"/>
        <v>9.9999999999999936E-2</v>
      </c>
      <c r="AS19" s="40"/>
      <c r="AT19" s="146">
        <f t="shared" si="48"/>
        <v>0.39983180085220904</v>
      </c>
      <c r="AU19" s="146">
        <f t="shared" si="48"/>
        <v>0.39984659047326859</v>
      </c>
      <c r="AV19" s="40"/>
      <c r="AW19" s="76">
        <f t="shared" si="49"/>
        <v>0.5</v>
      </c>
      <c r="AX19" s="76">
        <f t="shared" si="49"/>
        <v>0.5</v>
      </c>
      <c r="AY19" s="42"/>
      <c r="AZ19" s="42">
        <f t="shared" si="50"/>
        <v>178.3</v>
      </c>
      <c r="BA19" s="42">
        <f t="shared" si="50"/>
        <v>260.66000000000008</v>
      </c>
      <c r="BB19" s="42"/>
      <c r="BC19" s="76">
        <f t="shared" si="51"/>
        <v>0.49983180085220902</v>
      </c>
      <c r="BD19" s="76">
        <f t="shared" si="51"/>
        <v>0.49984659047326851</v>
      </c>
      <c r="BE19" s="42"/>
    </row>
    <row r="20" spans="1:57" x14ac:dyDescent="0.25">
      <c r="A20" t="s">
        <v>136</v>
      </c>
      <c r="D20" s="162">
        <f>ROUND('AMT Gold Standard from 24 Feb26'!D20+'AMT Gold Inc Cruise - 24 Feb26'!$B$57,2)</f>
        <v>193.46</v>
      </c>
      <c r="E20" s="162">
        <f>ROUND('AMT Gold Standard from 24 Feb26'!E20+'AMT Gold Inc Cruise - 24 Feb26'!$B$58,2)</f>
        <v>279.32</v>
      </c>
      <c r="F20" s="81"/>
      <c r="G20" s="153">
        <f t="shared" si="36"/>
        <v>232.15199999999999</v>
      </c>
      <c r="H20" s="153">
        <f t="shared" si="36"/>
        <v>335.18399999999997</v>
      </c>
      <c r="J20" s="155">
        <f t="shared" si="37"/>
        <v>38.691999999999979</v>
      </c>
      <c r="K20" s="155">
        <f t="shared" si="37"/>
        <v>55.863999999999976</v>
      </c>
      <c r="M20" s="134">
        <f t="shared" si="52"/>
        <v>255.36500000000004</v>
      </c>
      <c r="N20" s="134">
        <f t="shared" si="52"/>
        <v>368.69800000000004</v>
      </c>
      <c r="P20" s="134">
        <f t="shared" si="38"/>
        <v>61.90500000000003</v>
      </c>
      <c r="Q20" s="134">
        <f t="shared" si="38"/>
        <v>89.378000000000043</v>
      </c>
      <c r="S20" s="141">
        <f t="shared" si="39"/>
        <v>0.10002067610875633</v>
      </c>
      <c r="T20" s="141">
        <f t="shared" si="39"/>
        <v>0.10000477349754167</v>
      </c>
      <c r="V20" s="41">
        <f t="shared" si="40"/>
        <v>386.92</v>
      </c>
      <c r="W20" s="41">
        <f t="shared" si="40"/>
        <v>558.64</v>
      </c>
      <c r="Y20" s="41">
        <f t="shared" si="53"/>
        <v>464.3</v>
      </c>
      <c r="Z20" s="41">
        <f t="shared" si="53"/>
        <v>670.37</v>
      </c>
      <c r="AB20" s="182">
        <f t="shared" si="41"/>
        <v>464.3</v>
      </c>
      <c r="AC20" s="182">
        <f t="shared" si="41"/>
        <v>670.3</v>
      </c>
      <c r="AE20" s="40">
        <f t="shared" si="42"/>
        <v>386.91666666666669</v>
      </c>
      <c r="AF20" s="40">
        <f t="shared" si="42"/>
        <v>558.58333333333337</v>
      </c>
      <c r="AH20" s="40">
        <f t="shared" si="43"/>
        <v>0</v>
      </c>
      <c r="AI20" s="40">
        <f t="shared" si="43"/>
        <v>7.0000000000050022E-2</v>
      </c>
      <c r="AK20" s="130">
        <f t="shared" si="44"/>
        <v>23.22</v>
      </c>
      <c r="AL20" s="130">
        <f t="shared" si="44"/>
        <v>33.520000000000003</v>
      </c>
      <c r="AM20" s="40"/>
      <c r="AN20" s="40">
        <f t="shared" si="45"/>
        <v>154.76800000000003</v>
      </c>
      <c r="AO20" s="40">
        <f t="shared" si="46"/>
        <v>223.38599999999997</v>
      </c>
      <c r="AP20" s="40"/>
      <c r="AQ20" s="144">
        <f t="shared" si="47"/>
        <v>9.9999999999999936E-2</v>
      </c>
      <c r="AR20" s="144">
        <f t="shared" si="47"/>
        <v>9.9999999999999964E-2</v>
      </c>
      <c r="AS20" s="40"/>
      <c r="AT20" s="146">
        <f t="shared" si="48"/>
        <v>0.40000000000000008</v>
      </c>
      <c r="AU20" s="146">
        <f t="shared" si="48"/>
        <v>0.39987469568953166</v>
      </c>
      <c r="AV20" s="40"/>
      <c r="AW20" s="76">
        <f t="shared" si="49"/>
        <v>0.5</v>
      </c>
      <c r="AX20" s="76">
        <f t="shared" si="49"/>
        <v>0.5</v>
      </c>
      <c r="AY20" s="42"/>
      <c r="AZ20" s="42">
        <f t="shared" si="50"/>
        <v>193.46</v>
      </c>
      <c r="BA20" s="42">
        <f t="shared" si="50"/>
        <v>279.24999999999994</v>
      </c>
      <c r="BB20" s="42"/>
      <c r="BC20" s="76">
        <f t="shared" si="51"/>
        <v>0.5</v>
      </c>
      <c r="BD20" s="76">
        <f t="shared" si="51"/>
        <v>0.49987469568953163</v>
      </c>
      <c r="BE20" s="42"/>
    </row>
    <row r="21" spans="1:57" x14ac:dyDescent="0.25">
      <c r="C21" s="104"/>
      <c r="D21" s="104"/>
      <c r="H21" s="40"/>
      <c r="I21" s="75"/>
      <c r="J21" s="75"/>
      <c r="K21" s="75"/>
      <c r="L21" s="75"/>
      <c r="V21" s="40"/>
      <c r="X21" s="41"/>
      <c r="Y21" s="40"/>
      <c r="Z21" s="40"/>
      <c r="AK21" s="76"/>
      <c r="AL21" s="76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76"/>
      <c r="AX21" s="76"/>
      <c r="AY21" s="42"/>
      <c r="AZ21" s="42"/>
      <c r="BA21" s="42"/>
      <c r="BB21" s="42"/>
      <c r="BC21" s="76"/>
      <c r="BD21" s="76"/>
      <c r="BE21" s="40"/>
    </row>
    <row r="22" spans="1:57" x14ac:dyDescent="0.25">
      <c r="A22" s="4" t="s">
        <v>139</v>
      </c>
      <c r="X22" s="41"/>
      <c r="Y22" s="40"/>
      <c r="Z22" s="40"/>
      <c r="AK22" s="76"/>
      <c r="AL22" s="76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76"/>
      <c r="AX22" s="76"/>
      <c r="AY22" s="42"/>
      <c r="AZ22" s="42"/>
      <c r="BA22" s="42"/>
      <c r="BB22" s="42"/>
      <c r="BC22" s="76"/>
      <c r="BD22" s="76"/>
      <c r="BE22" s="40"/>
    </row>
    <row r="23" spans="1:57" x14ac:dyDescent="0.25">
      <c r="A23" s="53"/>
      <c r="X23" s="41"/>
      <c r="Y23" s="40"/>
      <c r="Z23" s="40"/>
      <c r="AK23" s="76"/>
      <c r="AL23" s="76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76"/>
      <c r="AX23" s="76"/>
      <c r="AY23" s="42"/>
      <c r="AZ23" s="42"/>
      <c r="BA23" s="42"/>
      <c r="BB23" s="42"/>
      <c r="BC23" s="76"/>
      <c r="BD23" s="76"/>
      <c r="BE23" s="40"/>
    </row>
    <row r="24" spans="1:57" x14ac:dyDescent="0.25">
      <c r="A24" s="100" t="s">
        <v>132</v>
      </c>
      <c r="B24" s="52" t="s">
        <v>140</v>
      </c>
      <c r="D24" s="55" t="s">
        <v>141</v>
      </c>
      <c r="E24" s="55"/>
      <c r="F24" s="55"/>
    </row>
    <row r="25" spans="1:57" x14ac:dyDescent="0.25">
      <c r="A25" s="100" t="s">
        <v>137</v>
      </c>
      <c r="B25" s="52" t="s">
        <v>140</v>
      </c>
      <c r="F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</row>
    <row r="26" spans="1:57" x14ac:dyDescent="0.25">
      <c r="A26" s="100" t="s">
        <v>142</v>
      </c>
      <c r="B26" s="52" t="s">
        <v>140</v>
      </c>
      <c r="F26" s="40"/>
      <c r="G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</row>
    <row r="27" spans="1:57" x14ac:dyDescent="0.25">
      <c r="F27" s="40"/>
      <c r="G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</row>
    <row r="28" spans="1:57" x14ac:dyDescent="0.25">
      <c r="A28" s="99" t="s">
        <v>143</v>
      </c>
      <c r="B28" s="52" t="s">
        <v>144</v>
      </c>
      <c r="F28" s="40"/>
      <c r="G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</row>
    <row r="29" spans="1:57" x14ac:dyDescent="0.25">
      <c r="G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</row>
    <row r="30" spans="1:57" ht="45" customHeight="1" x14ac:dyDescent="0.25">
      <c r="A30" s="159" t="s">
        <v>145</v>
      </c>
      <c r="B30" s="246" t="s">
        <v>146</v>
      </c>
      <c r="C30" s="246"/>
      <c r="D30" s="246"/>
      <c r="E30" s="246"/>
      <c r="F30" s="99"/>
      <c r="AA30" s="40"/>
      <c r="AB30" s="40"/>
      <c r="AC30" s="40"/>
      <c r="AD30" s="40"/>
      <c r="AE30" s="40"/>
      <c r="AF30" s="40"/>
      <c r="AG30" s="40"/>
      <c r="AH30" s="40"/>
      <c r="AI30" s="40"/>
      <c r="AJ30" s="40"/>
    </row>
    <row r="31" spans="1:57" ht="45" customHeight="1" x14ac:dyDescent="0.25">
      <c r="A31" s="159" t="s">
        <v>147</v>
      </c>
      <c r="B31" s="246" t="s">
        <v>148</v>
      </c>
      <c r="C31" s="246"/>
      <c r="D31" s="246"/>
      <c r="E31" s="246"/>
      <c r="F31" s="246"/>
      <c r="AA31" s="40"/>
      <c r="AB31" s="40"/>
      <c r="AC31" s="40"/>
      <c r="AD31" s="40"/>
      <c r="AE31" s="40"/>
      <c r="AF31" s="40"/>
      <c r="AG31" s="40"/>
      <c r="AH31" s="40"/>
      <c r="AI31" s="40"/>
      <c r="AJ31" s="40"/>
    </row>
    <row r="32" spans="1:57" x14ac:dyDescent="0.25"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</row>
    <row r="33" spans="1:57" x14ac:dyDescent="0.25">
      <c r="A33" s="100" t="s">
        <v>149</v>
      </c>
      <c r="B33" s="101" t="s">
        <v>150</v>
      </c>
      <c r="C33" s="52"/>
      <c r="AA33" s="40"/>
      <c r="AB33" s="40"/>
      <c r="AC33" s="40"/>
      <c r="AD33" s="40"/>
      <c r="AE33" s="40"/>
      <c r="AF33" s="40"/>
      <c r="AG33" s="40"/>
      <c r="AH33" s="40"/>
      <c r="AI33" s="40"/>
      <c r="AJ33" s="40"/>
    </row>
    <row r="34" spans="1:57" x14ac:dyDescent="0.25">
      <c r="A34" s="100" t="s">
        <v>151</v>
      </c>
      <c r="B34" s="101" t="s">
        <v>152</v>
      </c>
      <c r="C34" s="52"/>
    </row>
    <row r="35" spans="1:57" x14ac:dyDescent="0.25">
      <c r="A35" s="100" t="s">
        <v>153</v>
      </c>
      <c r="B35" s="101" t="s">
        <v>154</v>
      </c>
      <c r="C35" s="52"/>
    </row>
    <row r="36" spans="1:57" s="96" customFormat="1" ht="45" customHeight="1" x14ac:dyDescent="0.25">
      <c r="D36" s="244" t="s">
        <v>128</v>
      </c>
      <c r="E36" s="244"/>
      <c r="F36" s="95"/>
      <c r="G36" s="245" t="s">
        <v>3</v>
      </c>
      <c r="H36" s="245"/>
      <c r="I36" s="18"/>
      <c r="J36" s="245" t="s">
        <v>4</v>
      </c>
      <c r="K36" s="245"/>
      <c r="L36" s="18"/>
      <c r="M36" s="219" t="s">
        <v>5</v>
      </c>
      <c r="N36" s="219"/>
      <c r="O36" s="18"/>
      <c r="P36" s="219" t="s">
        <v>6</v>
      </c>
      <c r="Q36" s="219"/>
      <c r="R36" s="18"/>
      <c r="S36" s="219" t="s">
        <v>7</v>
      </c>
      <c r="T36" s="219"/>
      <c r="U36" s="18"/>
      <c r="V36" s="214" t="s">
        <v>8</v>
      </c>
      <c r="W36" s="214"/>
      <c r="X36" s="52"/>
      <c r="Y36" s="211" t="s">
        <v>9</v>
      </c>
      <c r="Z36" s="211"/>
      <c r="AA36" s="1"/>
      <c r="AB36" s="215" t="s">
        <v>10</v>
      </c>
      <c r="AC36" s="215"/>
      <c r="AD36" s="1"/>
      <c r="AE36" s="211" t="s">
        <v>11</v>
      </c>
      <c r="AF36" s="211"/>
      <c r="AG36" s="1"/>
      <c r="AH36" s="211" t="s">
        <v>12</v>
      </c>
      <c r="AI36" s="211"/>
      <c r="AJ36" s="1"/>
      <c r="AK36" s="211" t="s">
        <v>13</v>
      </c>
      <c r="AL36" s="211"/>
      <c r="AM36" s="1"/>
      <c r="AN36" s="211" t="s">
        <v>14</v>
      </c>
      <c r="AO36" s="211"/>
      <c r="AP36" s="1"/>
      <c r="AQ36" s="212" t="s">
        <v>15</v>
      </c>
      <c r="AR36" s="212"/>
      <c r="AS36" s="1"/>
      <c r="AT36" s="211" t="s">
        <v>16</v>
      </c>
      <c r="AU36" s="211"/>
      <c r="AV36" s="1"/>
      <c r="AW36" s="213" t="s">
        <v>17</v>
      </c>
      <c r="AX36" s="213"/>
      <c r="AY36" s="1"/>
      <c r="AZ36" s="213" t="s">
        <v>18</v>
      </c>
      <c r="BA36" s="213"/>
      <c r="BB36" s="1"/>
      <c r="BC36" s="213" t="s">
        <v>129</v>
      </c>
      <c r="BD36" s="213"/>
      <c r="BE36" s="1"/>
    </row>
    <row r="37" spans="1:57" s="96" customFormat="1" ht="108.6" customHeight="1" x14ac:dyDescent="0.25">
      <c r="D37" s="195" t="s">
        <v>130</v>
      </c>
      <c r="E37" s="147" t="s">
        <v>131</v>
      </c>
      <c r="F37" s="35"/>
      <c r="G37" s="151" t="s">
        <v>130</v>
      </c>
      <c r="H37" s="152" t="s">
        <v>131</v>
      </c>
      <c r="I37" s="52"/>
      <c r="J37" s="151" t="s">
        <v>130</v>
      </c>
      <c r="K37" s="152" t="s">
        <v>131</v>
      </c>
      <c r="L37" s="52"/>
      <c r="M37" s="132" t="s">
        <v>130</v>
      </c>
      <c r="N37" s="133" t="s">
        <v>131</v>
      </c>
      <c r="O37" s="52"/>
      <c r="P37" s="132" t="s">
        <v>130</v>
      </c>
      <c r="Q37" s="133" t="s">
        <v>131</v>
      </c>
      <c r="R37" s="52"/>
      <c r="S37" s="132" t="s">
        <v>130</v>
      </c>
      <c r="T37" s="133" t="s">
        <v>131</v>
      </c>
      <c r="U37" s="52"/>
      <c r="V37" s="96" t="s">
        <v>130</v>
      </c>
      <c r="W37" s="95" t="s">
        <v>131</v>
      </c>
      <c r="X37" s="52"/>
      <c r="Y37" s="96" t="s">
        <v>130</v>
      </c>
      <c r="Z37" s="95" t="s">
        <v>131</v>
      </c>
      <c r="AA37" s="52"/>
      <c r="AB37" s="96" t="s">
        <v>130</v>
      </c>
      <c r="AC37" s="95" t="s">
        <v>131</v>
      </c>
      <c r="AD37" s="52"/>
      <c r="AE37" s="96" t="s">
        <v>130</v>
      </c>
      <c r="AF37" s="95" t="s">
        <v>131</v>
      </c>
      <c r="AG37" s="34"/>
      <c r="AH37" s="96" t="s">
        <v>130</v>
      </c>
      <c r="AI37" s="95" t="s">
        <v>131</v>
      </c>
      <c r="AJ37" s="52"/>
      <c r="AK37" s="128" t="s">
        <v>130</v>
      </c>
      <c r="AL37" s="129" t="s">
        <v>131</v>
      </c>
      <c r="AM37" s="52"/>
      <c r="AN37" s="96" t="s">
        <v>130</v>
      </c>
      <c r="AO37" s="95" t="s">
        <v>131</v>
      </c>
      <c r="AP37" s="52"/>
      <c r="AQ37" s="196" t="s">
        <v>130</v>
      </c>
      <c r="AR37" s="142" t="s">
        <v>131</v>
      </c>
      <c r="AS37" s="52"/>
      <c r="AT37" s="197" t="s">
        <v>130</v>
      </c>
      <c r="AU37" s="129" t="s">
        <v>131</v>
      </c>
      <c r="AV37" s="52"/>
      <c r="AW37" s="96" t="s">
        <v>130</v>
      </c>
      <c r="AX37" s="95" t="s">
        <v>131</v>
      </c>
      <c r="AY37" s="52"/>
      <c r="AZ37" s="96" t="s">
        <v>130</v>
      </c>
      <c r="BA37" s="95" t="s">
        <v>131</v>
      </c>
      <c r="BB37" s="52"/>
      <c r="BC37" s="139" t="s">
        <v>130</v>
      </c>
      <c r="BD37" s="95" t="s">
        <v>131</v>
      </c>
      <c r="BE37" s="1"/>
    </row>
    <row r="38" spans="1:57" ht="47.45" customHeight="1" x14ac:dyDescent="0.25">
      <c r="B38" s="45"/>
      <c r="D38" s="149"/>
      <c r="E38" s="149"/>
      <c r="F38" s="81"/>
      <c r="G38" s="153"/>
      <c r="H38" s="153"/>
      <c r="J38" s="155"/>
      <c r="K38" s="155"/>
      <c r="L38" s="41"/>
      <c r="M38" s="161"/>
      <c r="N38" s="161"/>
      <c r="P38" s="134"/>
      <c r="Q38" s="134"/>
      <c r="S38" s="141"/>
      <c r="T38" s="141"/>
      <c r="V38" s="41"/>
      <c r="W38" s="41"/>
      <c r="Y38" s="41"/>
      <c r="Z38" s="41"/>
      <c r="AB38" s="182"/>
      <c r="AC38" s="182"/>
      <c r="AE38" s="40"/>
      <c r="AF38" s="40"/>
      <c r="AH38" s="40"/>
      <c r="AI38" s="40"/>
      <c r="AK38" s="130"/>
      <c r="AL38" s="130"/>
      <c r="AM38" s="40"/>
      <c r="AN38" s="40"/>
      <c r="AO38" s="40"/>
      <c r="AP38" s="40"/>
      <c r="AQ38" s="144"/>
      <c r="AR38" s="144"/>
      <c r="AS38" s="40"/>
      <c r="AT38" s="146"/>
      <c r="AU38" s="146"/>
      <c r="AV38" s="40"/>
      <c r="AW38" s="76"/>
      <c r="AX38" s="76"/>
      <c r="AY38" s="42"/>
      <c r="AZ38" s="42"/>
      <c r="BA38" s="42"/>
      <c r="BB38" s="42"/>
      <c r="BC38" s="76"/>
      <c r="BD38" s="76"/>
      <c r="BE38" s="42"/>
    </row>
    <row r="39" spans="1:57" ht="39.950000000000003" customHeight="1" x14ac:dyDescent="0.25">
      <c r="A39" s="247" t="s">
        <v>63</v>
      </c>
      <c r="B39" s="247"/>
      <c r="C39" s="247"/>
      <c r="D39" s="162">
        <v>15</v>
      </c>
      <c r="E39" s="162">
        <v>15</v>
      </c>
      <c r="F39" s="81"/>
      <c r="G39" s="153">
        <f>D39*SUM(1+$G$1/$Y$1)</f>
        <v>18</v>
      </c>
      <c r="H39" s="153">
        <f>E39*SUM(1+$G$1/$Y$1)</f>
        <v>18</v>
      </c>
      <c r="J39" s="155">
        <f t="shared" ref="J39:K39" si="54">G39-D39</f>
        <v>3</v>
      </c>
      <c r="K39" s="155">
        <f t="shared" si="54"/>
        <v>3</v>
      </c>
      <c r="L39" s="41"/>
      <c r="M39" s="161">
        <f t="shared" ref="M39:N39" si="55">ROUND(D39*(1+$G$1*2),2)*SUM(1+$M$1)</f>
        <v>19.8</v>
      </c>
      <c r="N39" s="161">
        <f t="shared" si="55"/>
        <v>19.8</v>
      </c>
      <c r="P39" s="134">
        <f t="shared" ref="P39:Q39" si="56">M39-D39</f>
        <v>4.8000000000000007</v>
      </c>
      <c r="Q39" s="134">
        <f t="shared" si="56"/>
        <v>4.8000000000000007</v>
      </c>
      <c r="S39" s="141">
        <f>AK39/G39</f>
        <v>0.1</v>
      </c>
      <c r="T39" s="141">
        <f>AL39/H39</f>
        <v>0.1</v>
      </c>
      <c r="V39" s="41">
        <f>SUM(D39/(1-$Y$1))</f>
        <v>30</v>
      </c>
      <c r="W39" s="41">
        <f>SUM(E39/(1-$Y$1))</f>
        <v>30</v>
      </c>
      <c r="Y39" s="41">
        <f t="shared" ref="Y39:Z39" si="57">ROUND(D39/(1-$Y$1)*1.2,2)</f>
        <v>36</v>
      </c>
      <c r="Z39" s="41">
        <f t="shared" si="57"/>
        <v>36</v>
      </c>
      <c r="AB39" s="182">
        <f t="shared" ref="AB39:AC39" si="58">ROUNDDOWN(D39/(1-$Y$1)*1.2,1)</f>
        <v>36</v>
      </c>
      <c r="AC39" s="182">
        <f t="shared" si="58"/>
        <v>36</v>
      </c>
      <c r="AE39" s="40">
        <f t="shared" ref="AE39:AF39" si="59">AB39/1.2</f>
        <v>30</v>
      </c>
      <c r="AF39" s="40">
        <f t="shared" si="59"/>
        <v>30</v>
      </c>
      <c r="AH39" s="40">
        <f t="shared" ref="AH39:AI39" si="60">Y39-AB39</f>
        <v>0</v>
      </c>
      <c r="AI39" s="40">
        <f t="shared" si="60"/>
        <v>0</v>
      </c>
      <c r="AK39" s="130">
        <f t="shared" ref="AK39" si="61">ROUND(M39*(1-(1/(1+$AL$1))),2)</f>
        <v>1.8</v>
      </c>
      <c r="AL39" s="130">
        <f>ROUND(N39*(1-(1/(1+$AL$1))),2)</f>
        <v>1.8</v>
      </c>
      <c r="AM39" s="40"/>
      <c r="AN39" s="40">
        <f t="shared" ref="AN39" si="62">SUM(V39-G39)-AH39</f>
        <v>12</v>
      </c>
      <c r="AO39" s="40">
        <f t="shared" ref="AO39" si="63">SUM(W39-H39)-AI39</f>
        <v>12</v>
      </c>
      <c r="AP39" s="40"/>
      <c r="AQ39" s="144">
        <f>(SUM(G39-D39)/D39*$Y$1)</f>
        <v>0.1</v>
      </c>
      <c r="AR39" s="144">
        <f>(SUM(H39-E39)/E39*$Y$1)</f>
        <v>0.1</v>
      </c>
      <c r="AS39" s="40"/>
      <c r="AT39" s="146">
        <f>AN39/V39</f>
        <v>0.4</v>
      </c>
      <c r="AU39" s="146">
        <f>AO39/W39</f>
        <v>0.4</v>
      </c>
      <c r="AV39" s="40"/>
      <c r="AW39" s="76">
        <f>D39/V39</f>
        <v>0.5</v>
      </c>
      <c r="AX39" s="76">
        <f>E39/W39</f>
        <v>0.5</v>
      </c>
      <c r="AY39" s="42"/>
      <c r="AZ39" s="42">
        <f>J39+AN39</f>
        <v>15</v>
      </c>
      <c r="BA39" s="42">
        <f>K39+AO39</f>
        <v>15</v>
      </c>
      <c r="BB39" s="42"/>
      <c r="BC39" s="76">
        <f>AZ39/(D39/$Y$1)</f>
        <v>0.5</v>
      </c>
      <c r="BD39" s="76">
        <f>BA39/(E39/$Y$1)</f>
        <v>0.5</v>
      </c>
      <c r="BE39" s="42"/>
    </row>
    <row r="40" spans="1:57" x14ac:dyDescent="0.25">
      <c r="A40" s="52"/>
      <c r="B40" s="52"/>
      <c r="C40" s="98"/>
      <c r="D40" s="52"/>
      <c r="E40" s="52"/>
      <c r="F40" s="40"/>
    </row>
    <row r="41" spans="1:57" x14ac:dyDescent="0.25">
      <c r="A41" s="45" t="s">
        <v>64</v>
      </c>
      <c r="B41" s="45" t="s">
        <v>65</v>
      </c>
      <c r="C41" s="45" t="s">
        <v>66</v>
      </c>
    </row>
    <row r="42" spans="1:57" s="122" customFormat="1" ht="30" customHeight="1" x14ac:dyDescent="0.25">
      <c r="A42" s="120"/>
      <c r="B42" s="121" t="s">
        <v>67</v>
      </c>
      <c r="C42" s="248" t="s">
        <v>68</v>
      </c>
      <c r="D42" s="248"/>
      <c r="E42" s="248"/>
      <c r="F42" s="248"/>
      <c r="G42" s="248"/>
      <c r="H42" s="248"/>
      <c r="I42" s="248"/>
      <c r="J42" s="248"/>
      <c r="K42" s="248"/>
      <c r="L42" s="248"/>
      <c r="M42" s="248"/>
    </row>
    <row r="43" spans="1:57" s="122" customFormat="1" ht="30" customHeight="1" x14ac:dyDescent="0.25">
      <c r="A43" s="120"/>
      <c r="B43" s="121"/>
      <c r="C43" s="248"/>
      <c r="D43" s="248"/>
      <c r="E43" s="248"/>
      <c r="F43" s="248"/>
      <c r="G43" s="248"/>
      <c r="H43" s="248"/>
      <c r="I43" s="248"/>
      <c r="J43" s="248"/>
      <c r="K43" s="248"/>
      <c r="L43" s="248"/>
      <c r="M43" s="248"/>
    </row>
    <row r="44" spans="1:57" x14ac:dyDescent="0.25">
      <c r="B44" s="45" t="s">
        <v>69</v>
      </c>
      <c r="C44" s="45" t="s">
        <v>70</v>
      </c>
      <c r="G44" s="40"/>
    </row>
    <row r="45" spans="1:57" x14ac:dyDescent="0.25">
      <c r="B45" s="45" t="s">
        <v>71</v>
      </c>
      <c r="C45" s="45" t="s">
        <v>72</v>
      </c>
      <c r="G45" s="40"/>
    </row>
    <row r="46" spans="1:57" x14ac:dyDescent="0.25">
      <c r="A46" s="52"/>
      <c r="B46" s="52"/>
      <c r="C46" s="98"/>
      <c r="D46" s="52"/>
      <c r="E46" s="52"/>
      <c r="F46" s="40"/>
    </row>
    <row r="47" spans="1:57" x14ac:dyDescent="0.25">
      <c r="A47" s="46" t="s">
        <v>73</v>
      </c>
      <c r="B47" s="1" t="s">
        <v>74</v>
      </c>
      <c r="C47" s="46" t="s">
        <v>75</v>
      </c>
      <c r="D47" s="25"/>
      <c r="F47" s="47"/>
    </row>
    <row r="48" spans="1:57" x14ac:dyDescent="0.25">
      <c r="A48" s="25"/>
      <c r="B48" s="1" t="s">
        <v>76</v>
      </c>
      <c r="C48" s="47" t="s">
        <v>77</v>
      </c>
      <c r="D48" s="25"/>
      <c r="F48" s="47"/>
    </row>
    <row r="49" spans="1:12" x14ac:dyDescent="0.25">
      <c r="A49" s="25"/>
      <c r="B49" s="1" t="s">
        <v>78</v>
      </c>
      <c r="C49" s="47" t="s">
        <v>79</v>
      </c>
      <c r="D49" s="25"/>
      <c r="F49" s="47"/>
    </row>
    <row r="50" spans="1:12" x14ac:dyDescent="0.25">
      <c r="A50" s="25"/>
      <c r="B50" s="1" t="s">
        <v>80</v>
      </c>
      <c r="C50" s="47" t="s">
        <v>81</v>
      </c>
      <c r="D50" s="25"/>
      <c r="F50" s="47"/>
    </row>
    <row r="51" spans="1:12" x14ac:dyDescent="0.25">
      <c r="F51" s="52"/>
      <c r="G51" s="52"/>
      <c r="H51" s="52"/>
      <c r="I51" s="52"/>
      <c r="J51" s="52"/>
      <c r="K51" s="52"/>
      <c r="L51" s="52"/>
    </row>
    <row r="52" spans="1:12" x14ac:dyDescent="0.25">
      <c r="A52" s="1" t="s">
        <v>82</v>
      </c>
      <c r="C52" s="1" t="s">
        <v>83</v>
      </c>
      <c r="F52" s="99"/>
      <c r="G52" s="99"/>
      <c r="H52" s="99"/>
      <c r="I52" s="99"/>
      <c r="J52" s="99"/>
      <c r="K52" s="99"/>
      <c r="L52" s="99"/>
    </row>
    <row r="53" spans="1:12" x14ac:dyDescent="0.25">
      <c r="A53" s="99"/>
      <c r="F53" s="99"/>
      <c r="G53" s="99"/>
      <c r="H53" s="99"/>
      <c r="I53" s="99"/>
      <c r="J53" s="99"/>
      <c r="K53" s="99"/>
      <c r="L53" s="99"/>
    </row>
    <row r="54" spans="1:12" x14ac:dyDescent="0.25">
      <c r="A54" s="52" t="s">
        <v>84</v>
      </c>
      <c r="B54" s="52"/>
      <c r="C54" s="52"/>
      <c r="D54" s="52"/>
      <c r="E54" s="52"/>
      <c r="F54" s="99"/>
      <c r="G54" s="99"/>
      <c r="H54" s="99"/>
      <c r="I54" s="99"/>
      <c r="J54" s="99"/>
      <c r="K54" s="99"/>
      <c r="L54" s="99"/>
    </row>
    <row r="57" spans="1:12" x14ac:dyDescent="0.25">
      <c r="A57" s="166" t="s">
        <v>85</v>
      </c>
      <c r="B57" s="191">
        <v>1.8</v>
      </c>
      <c r="C57" s="192" t="s">
        <v>156</v>
      </c>
    </row>
    <row r="58" spans="1:12" x14ac:dyDescent="0.25">
      <c r="A58" s="166"/>
      <c r="B58" s="191">
        <v>3.6</v>
      </c>
      <c r="C58" s="192" t="s">
        <v>157</v>
      </c>
    </row>
  </sheetData>
  <mergeCells count="40">
    <mergeCell ref="D2:E2"/>
    <mergeCell ref="G2:H2"/>
    <mergeCell ref="J2:K2"/>
    <mergeCell ref="M2:N2"/>
    <mergeCell ref="P2:Q2"/>
    <mergeCell ref="AZ2:BA2"/>
    <mergeCell ref="BC2:BD2"/>
    <mergeCell ref="V2:W2"/>
    <mergeCell ref="Y2:Z2"/>
    <mergeCell ref="AB2:AC2"/>
    <mergeCell ref="AE2:AF2"/>
    <mergeCell ref="AH2:AI2"/>
    <mergeCell ref="AK2:AL2"/>
    <mergeCell ref="M36:N36"/>
    <mergeCell ref="AN2:AO2"/>
    <mergeCell ref="AQ2:AR2"/>
    <mergeCell ref="AT2:AU2"/>
    <mergeCell ref="AW2:AX2"/>
    <mergeCell ref="S2:T2"/>
    <mergeCell ref="B30:E30"/>
    <mergeCell ref="B31:F31"/>
    <mergeCell ref="D36:E36"/>
    <mergeCell ref="G36:H36"/>
    <mergeCell ref="J36:K36"/>
    <mergeCell ref="AZ36:BA36"/>
    <mergeCell ref="BC36:BD36"/>
    <mergeCell ref="A39:C39"/>
    <mergeCell ref="C42:M43"/>
    <mergeCell ref="AH36:AI36"/>
    <mergeCell ref="AK36:AL36"/>
    <mergeCell ref="AN36:AO36"/>
    <mergeCell ref="AQ36:AR36"/>
    <mergeCell ref="AT36:AU36"/>
    <mergeCell ref="AW36:AX36"/>
    <mergeCell ref="P36:Q36"/>
    <mergeCell ref="S36:T36"/>
    <mergeCell ref="V36:W36"/>
    <mergeCell ref="Y36:Z36"/>
    <mergeCell ref="AB36:AC36"/>
    <mergeCell ref="AE36:AF3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9B599-EF12-48EA-BD8A-A3A99E30ABBE}">
  <sheetPr>
    <tabColor rgb="FFFF0000"/>
  </sheetPr>
  <dimension ref="A1:BE58"/>
  <sheetViews>
    <sheetView zoomScale="85" zoomScaleNormal="8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2" sqref="A2"/>
    </sheetView>
  </sheetViews>
  <sheetFormatPr defaultColWidth="8.85546875" defaultRowHeight="15" x14ac:dyDescent="0.25"/>
  <cols>
    <col min="1" max="1" width="33.7109375" style="1" customWidth="1"/>
    <col min="2" max="2" width="8.85546875" style="1" customWidth="1"/>
    <col min="3" max="3" width="32.140625" style="1" customWidth="1"/>
    <col min="4" max="5" width="10" style="1" customWidth="1"/>
    <col min="6" max="6" width="3.7109375" style="1" customWidth="1"/>
    <col min="7" max="8" width="9.7109375" style="1" customWidth="1"/>
    <col min="9" max="9" width="3.7109375" style="1" customWidth="1"/>
    <col min="10" max="11" width="9.7109375" style="1" customWidth="1"/>
    <col min="12" max="12" width="3.7109375" style="1" customWidth="1"/>
    <col min="13" max="13" width="13" style="1" customWidth="1"/>
    <col min="14" max="14" width="11.85546875" style="1" bestFit="1" customWidth="1"/>
    <col min="15" max="15" width="3.7109375" style="1" customWidth="1"/>
    <col min="16" max="17" width="9.7109375" style="1" customWidth="1"/>
    <col min="18" max="18" width="3.7109375" style="1" customWidth="1"/>
    <col min="19" max="20" width="9.7109375" style="1" customWidth="1"/>
    <col min="21" max="21" width="5.140625" style="1" customWidth="1"/>
    <col min="22" max="22" width="12.42578125" style="1" customWidth="1"/>
    <col min="23" max="23" width="11.85546875" style="1" customWidth="1"/>
    <col min="24" max="24" width="6.140625" style="1" customWidth="1"/>
    <col min="25" max="25" width="12.42578125" style="1" customWidth="1"/>
    <col min="26" max="26" width="11.85546875" style="1" customWidth="1"/>
    <col min="27" max="27" width="3.7109375" style="1" customWidth="1"/>
    <col min="28" max="29" width="9.7109375" style="1" customWidth="1"/>
    <col min="30" max="30" width="3.7109375" style="1" customWidth="1"/>
    <col min="31" max="32" width="9.7109375" style="1" customWidth="1"/>
    <col min="33" max="33" width="3.7109375" style="1" customWidth="1"/>
    <col min="34" max="35" width="9.7109375" style="1" customWidth="1"/>
    <col min="36" max="36" width="3.7109375" style="1" customWidth="1"/>
    <col min="37" max="38" width="9.7109375" style="1" customWidth="1"/>
    <col min="39" max="39" width="3.7109375" style="1" customWidth="1"/>
    <col min="40" max="41" width="9.7109375" style="1" customWidth="1"/>
    <col min="42" max="42" width="3.7109375" style="1" customWidth="1"/>
    <col min="43" max="44" width="9.7109375" style="1" customWidth="1"/>
    <col min="45" max="45" width="3.7109375" style="1" customWidth="1"/>
    <col min="46" max="47" width="9.7109375" style="1" customWidth="1"/>
    <col min="48" max="48" width="3.7109375" style="1" customWidth="1"/>
    <col min="49" max="50" width="9.7109375" style="1" customWidth="1"/>
    <col min="51" max="51" width="3.7109375" style="1" customWidth="1"/>
    <col min="52" max="53" width="9.7109375" style="1" customWidth="1"/>
    <col min="54" max="54" width="3.7109375" style="1" customWidth="1"/>
    <col min="55" max="55" width="11.85546875" style="1" customWidth="1"/>
    <col min="56" max="56" width="10.42578125" style="1" customWidth="1"/>
    <col min="57" max="57" width="8.140625" style="1" customWidth="1"/>
    <col min="58" max="16384" width="8.85546875" style="1"/>
  </cols>
  <sheetData>
    <row r="1" spans="1:57" ht="15" customHeight="1" thickBot="1" x14ac:dyDescent="0.3">
      <c r="A1" s="184" t="s">
        <v>88</v>
      </c>
      <c r="C1" s="171" t="s">
        <v>0</v>
      </c>
      <c r="D1" s="163">
        <v>0.495</v>
      </c>
      <c r="E1" s="18"/>
      <c r="F1" s="18"/>
      <c r="G1" s="194">
        <v>0.1</v>
      </c>
      <c r="H1" s="170" t="s">
        <v>1</v>
      </c>
      <c r="I1" s="18"/>
      <c r="J1" s="18"/>
      <c r="K1" s="18"/>
      <c r="L1" s="18"/>
      <c r="M1" s="92">
        <v>0.1</v>
      </c>
      <c r="N1" s="18"/>
      <c r="O1" s="18"/>
      <c r="P1" s="18"/>
      <c r="Q1" s="18"/>
      <c r="R1" s="18"/>
      <c r="S1" s="18"/>
      <c r="T1" s="18"/>
      <c r="U1" s="18"/>
      <c r="V1" s="92"/>
      <c r="W1" s="18"/>
      <c r="X1" s="92"/>
      <c r="Y1" s="91">
        <v>0.5</v>
      </c>
      <c r="Z1" s="18"/>
      <c r="AL1" s="83">
        <v>0.1</v>
      </c>
    </row>
    <row r="2" spans="1:57" ht="48" customHeight="1" x14ac:dyDescent="0.25">
      <c r="A2" s="97"/>
      <c r="D2" s="244" t="s">
        <v>128</v>
      </c>
      <c r="E2" s="244"/>
      <c r="F2" s="95"/>
      <c r="G2" s="245" t="s">
        <v>3</v>
      </c>
      <c r="H2" s="245"/>
      <c r="I2" s="18"/>
      <c r="J2" s="245" t="s">
        <v>4</v>
      </c>
      <c r="K2" s="245"/>
      <c r="L2" s="18"/>
      <c r="M2" s="219" t="s">
        <v>5</v>
      </c>
      <c r="N2" s="219"/>
      <c r="O2" s="18"/>
      <c r="P2" s="219" t="s">
        <v>6</v>
      </c>
      <c r="Q2" s="219"/>
      <c r="R2" s="18"/>
      <c r="S2" s="219" t="s">
        <v>7</v>
      </c>
      <c r="T2" s="219"/>
      <c r="U2" s="18"/>
      <c r="V2" s="214" t="s">
        <v>8</v>
      </c>
      <c r="W2" s="214"/>
      <c r="X2" s="52"/>
      <c r="Y2" s="211" t="s">
        <v>9</v>
      </c>
      <c r="Z2" s="211"/>
      <c r="AB2" s="215" t="s">
        <v>10</v>
      </c>
      <c r="AC2" s="215"/>
      <c r="AE2" s="211" t="s">
        <v>11</v>
      </c>
      <c r="AF2" s="211"/>
      <c r="AH2" s="211" t="s">
        <v>12</v>
      </c>
      <c r="AI2" s="211"/>
      <c r="AK2" s="211" t="s">
        <v>13</v>
      </c>
      <c r="AL2" s="211"/>
      <c r="AN2" s="211" t="s">
        <v>14</v>
      </c>
      <c r="AO2" s="211"/>
      <c r="AQ2" s="212" t="s">
        <v>15</v>
      </c>
      <c r="AR2" s="212"/>
      <c r="AT2" s="211" t="s">
        <v>16</v>
      </c>
      <c r="AU2" s="211"/>
      <c r="AW2" s="213" t="s">
        <v>17</v>
      </c>
      <c r="AX2" s="213"/>
      <c r="AZ2" s="213" t="s">
        <v>18</v>
      </c>
      <c r="BA2" s="213"/>
      <c r="BC2" s="213" t="s">
        <v>129</v>
      </c>
      <c r="BD2" s="213"/>
    </row>
    <row r="3" spans="1:57" s="52" customFormat="1" ht="102" customHeight="1" x14ac:dyDescent="0.25">
      <c r="A3" s="97"/>
      <c r="D3" s="195" t="s">
        <v>130</v>
      </c>
      <c r="E3" s="147" t="s">
        <v>131</v>
      </c>
      <c r="F3" s="35"/>
      <c r="G3" s="151" t="s">
        <v>130</v>
      </c>
      <c r="H3" s="152" t="s">
        <v>131</v>
      </c>
      <c r="J3" s="151" t="s">
        <v>130</v>
      </c>
      <c r="K3" s="152" t="s">
        <v>131</v>
      </c>
      <c r="M3" s="132" t="s">
        <v>130</v>
      </c>
      <c r="N3" s="133" t="s">
        <v>131</v>
      </c>
      <c r="P3" s="132" t="s">
        <v>130</v>
      </c>
      <c r="Q3" s="133" t="s">
        <v>131</v>
      </c>
      <c r="S3" s="132" t="s">
        <v>130</v>
      </c>
      <c r="T3" s="133" t="s">
        <v>131</v>
      </c>
      <c r="V3" s="96" t="s">
        <v>130</v>
      </c>
      <c r="W3" s="95" t="s">
        <v>131</v>
      </c>
      <c r="Y3" s="96" t="s">
        <v>130</v>
      </c>
      <c r="Z3" s="95" t="s">
        <v>131</v>
      </c>
      <c r="AB3" s="96" t="s">
        <v>130</v>
      </c>
      <c r="AC3" s="95" t="s">
        <v>131</v>
      </c>
      <c r="AE3" s="96" t="s">
        <v>130</v>
      </c>
      <c r="AF3" s="95" t="s">
        <v>131</v>
      </c>
      <c r="AG3" s="34"/>
      <c r="AH3" s="96" t="s">
        <v>130</v>
      </c>
      <c r="AI3" s="95" t="s">
        <v>131</v>
      </c>
      <c r="AK3" s="128" t="s">
        <v>130</v>
      </c>
      <c r="AL3" s="129" t="s">
        <v>131</v>
      </c>
      <c r="AN3" s="96" t="s">
        <v>130</v>
      </c>
      <c r="AO3" s="95" t="s">
        <v>131</v>
      </c>
      <c r="AQ3" s="196" t="s">
        <v>130</v>
      </c>
      <c r="AR3" s="142" t="s">
        <v>131</v>
      </c>
      <c r="AT3" s="197" t="s">
        <v>130</v>
      </c>
      <c r="AU3" s="129" t="s">
        <v>131</v>
      </c>
      <c r="AW3" s="96" t="s">
        <v>130</v>
      </c>
      <c r="AX3" s="95" t="s">
        <v>131</v>
      </c>
      <c r="AZ3" s="96" t="s">
        <v>130</v>
      </c>
      <c r="BA3" s="95" t="s">
        <v>131</v>
      </c>
      <c r="BC3" s="139" t="s">
        <v>130</v>
      </c>
      <c r="BD3" s="95" t="s">
        <v>131</v>
      </c>
    </row>
    <row r="4" spans="1:57" x14ac:dyDescent="0.25">
      <c r="A4" s="167" t="s">
        <v>132</v>
      </c>
      <c r="B4" s="4"/>
      <c r="D4" s="137"/>
      <c r="E4" s="148"/>
      <c r="F4" s="39"/>
      <c r="G4" s="138"/>
      <c r="H4" s="138"/>
      <c r="J4" s="154"/>
      <c r="K4" s="154"/>
      <c r="M4" s="123"/>
      <c r="N4" s="123"/>
      <c r="P4" s="123"/>
      <c r="Q4" s="123"/>
      <c r="S4" s="140"/>
      <c r="T4" s="140"/>
      <c r="V4" s="75"/>
      <c r="AK4" s="131"/>
      <c r="AL4" s="131"/>
      <c r="AQ4" s="143"/>
      <c r="AR4" s="143"/>
      <c r="AT4" s="131"/>
      <c r="AU4" s="131"/>
    </row>
    <row r="5" spans="1:57" x14ac:dyDescent="0.25">
      <c r="A5" t="s">
        <v>133</v>
      </c>
      <c r="D5" s="162">
        <f>ROUND('AMT Standard from 1 Apr25'!D5+'AMT Inc Cruise from 1 Apr25'!$B$57,2)</f>
        <v>49.25</v>
      </c>
      <c r="E5" s="162">
        <f>ROUND('AMT Standard from 1 Apr25'!E5+'AMT Inc Cruise from 1 Apr25'!$B$58,2)</f>
        <v>67.8</v>
      </c>
      <c r="F5" s="81"/>
      <c r="G5" s="153">
        <f t="shared" ref="G5:H8" si="0">D5*SUM(1+$G$1/$Y$1)</f>
        <v>59.099999999999994</v>
      </c>
      <c r="H5" s="153">
        <f t="shared" si="0"/>
        <v>81.36</v>
      </c>
      <c r="I5" s="83"/>
      <c r="J5" s="155">
        <f>G5-D5</f>
        <v>9.8499999999999943</v>
      </c>
      <c r="K5" s="155">
        <f>H5-E5</f>
        <v>13.560000000000002</v>
      </c>
      <c r="L5" s="83"/>
      <c r="M5" s="134">
        <f>ROUND(D5*(1+$G$1*2),2)*SUM(1+$M$1)</f>
        <v>65.010000000000005</v>
      </c>
      <c r="N5" s="134">
        <f>ROUND(E5*(1+$G$1*2),2)*SUM(1+$M$1)</f>
        <v>89.496000000000009</v>
      </c>
      <c r="P5" s="134">
        <f>M5-D5</f>
        <v>15.760000000000005</v>
      </c>
      <c r="Q5" s="134">
        <f>N5-E5</f>
        <v>21.696000000000012</v>
      </c>
      <c r="S5" s="141">
        <f t="shared" ref="S5:T8" si="1">AK5/G5</f>
        <v>0.1</v>
      </c>
      <c r="T5" s="141">
        <f t="shared" si="1"/>
        <v>0.10004916420845625</v>
      </c>
      <c r="V5" s="41">
        <f t="shared" ref="V5:W8" si="2">SUM(D5/(1-$Y$1))</f>
        <v>98.5</v>
      </c>
      <c r="W5" s="41">
        <f t="shared" si="2"/>
        <v>135.6</v>
      </c>
      <c r="X5" s="82"/>
      <c r="Y5" s="41">
        <f>ROUND(D5/(1-$Y$1)*1.2,2)</f>
        <v>118.2</v>
      </c>
      <c r="Z5" s="41">
        <f>ROUND(E5/(1-$Y$1)*1.2,2)</f>
        <v>162.72</v>
      </c>
      <c r="AB5" s="182">
        <f>ROUNDDOWN(D5/(1-$Y$1)*1.2,1)</f>
        <v>118.2</v>
      </c>
      <c r="AC5" s="182">
        <f>ROUNDDOWN(E5/(1-$Y$1)*1.2,1)</f>
        <v>162.69999999999999</v>
      </c>
      <c r="AE5" s="40">
        <f>AB5/1.2</f>
        <v>98.5</v>
      </c>
      <c r="AF5" s="40">
        <f>AC5/1.2</f>
        <v>135.58333333333334</v>
      </c>
      <c r="AH5" s="40">
        <f>Y5-AB5</f>
        <v>0</v>
      </c>
      <c r="AI5" s="40">
        <f>Z5-AC5</f>
        <v>2.0000000000010232E-2</v>
      </c>
      <c r="AK5" s="130">
        <f t="shared" ref="AK5:AL8" si="3">ROUND(M5*(1-(1/(1+$AL$1))),2)</f>
        <v>5.91</v>
      </c>
      <c r="AL5" s="130">
        <f t="shared" si="3"/>
        <v>8.14</v>
      </c>
      <c r="AM5" s="40"/>
      <c r="AN5" s="40">
        <f>SUM(V5-G5)-AH5</f>
        <v>39.400000000000006</v>
      </c>
      <c r="AO5" s="40">
        <f>SUM(W5-H5)-AI5</f>
        <v>54.219999999999985</v>
      </c>
      <c r="AP5" s="40"/>
      <c r="AQ5" s="144">
        <f t="shared" ref="AQ5:AR8" si="4">(SUM(G5-D5)/D5*$Y$1)</f>
        <v>9.9999999999999936E-2</v>
      </c>
      <c r="AR5" s="144">
        <f t="shared" si="4"/>
        <v>0.10000000000000002</v>
      </c>
      <c r="AS5" s="40"/>
      <c r="AT5" s="146">
        <f t="shared" ref="AT5:AU8" si="5">AN5/V5</f>
        <v>0.40000000000000008</v>
      </c>
      <c r="AU5" s="146">
        <f t="shared" si="5"/>
        <v>0.39985250737463118</v>
      </c>
      <c r="AV5" s="40"/>
      <c r="AW5" s="76">
        <f t="shared" ref="AW5:AX8" si="6">D5/V5</f>
        <v>0.5</v>
      </c>
      <c r="AX5" s="76">
        <f t="shared" si="6"/>
        <v>0.5</v>
      </c>
      <c r="AY5" s="42"/>
      <c r="AZ5" s="42">
        <f t="shared" ref="AZ5:BA8" si="7">J5+AN5</f>
        <v>49.25</v>
      </c>
      <c r="BA5" s="42">
        <f t="shared" si="7"/>
        <v>67.779999999999987</v>
      </c>
      <c r="BB5" s="42"/>
      <c r="BC5" s="76">
        <f t="shared" ref="BC5:BD8" si="8">AZ5/(D5/$Y$1)</f>
        <v>0.5</v>
      </c>
      <c r="BD5" s="76">
        <f t="shared" si="8"/>
        <v>0.49985250737463122</v>
      </c>
      <c r="BE5" s="42"/>
    </row>
    <row r="6" spans="1:57" x14ac:dyDescent="0.25">
      <c r="A6" t="s">
        <v>134</v>
      </c>
      <c r="D6" s="162">
        <f>ROUND(D5*1.5,2)</f>
        <v>73.88</v>
      </c>
      <c r="E6" s="162">
        <f>ROUND(E5*1.5,2)</f>
        <v>101.7</v>
      </c>
      <c r="F6" s="81"/>
      <c r="G6" s="153">
        <f t="shared" si="0"/>
        <v>88.655999999999992</v>
      </c>
      <c r="H6" s="153">
        <f t="shared" si="0"/>
        <v>122.03999999999999</v>
      </c>
      <c r="I6" s="83"/>
      <c r="J6" s="155">
        <f>G6-D6</f>
        <v>14.775999999999996</v>
      </c>
      <c r="K6" s="155">
        <f>H6-E6</f>
        <v>20.339999999999989</v>
      </c>
      <c r="L6" s="83"/>
      <c r="M6" s="134">
        <f t="shared" ref="M6:N8" si="9">ROUND(D6*(1+$G$1*2),2)*SUM(1+$M$1)</f>
        <v>97.52600000000001</v>
      </c>
      <c r="N6" s="134">
        <f t="shared" si="9"/>
        <v>134.24400000000003</v>
      </c>
      <c r="P6" s="134">
        <f>M6-D6</f>
        <v>23.646000000000015</v>
      </c>
      <c r="Q6" s="134">
        <f>N6-E6</f>
        <v>32.544000000000025</v>
      </c>
      <c r="S6" s="141">
        <f t="shared" si="1"/>
        <v>0.10004963003068039</v>
      </c>
      <c r="T6" s="141">
        <f t="shared" si="1"/>
        <v>9.9967223861029172E-2</v>
      </c>
      <c r="V6" s="41">
        <f t="shared" si="2"/>
        <v>147.76</v>
      </c>
      <c r="W6" s="41">
        <f t="shared" si="2"/>
        <v>203.4</v>
      </c>
      <c r="X6" s="82"/>
      <c r="Y6" s="41">
        <f t="shared" ref="Y6:Z8" si="10">ROUND(D6/(1-$Y$1)*1.2,2)</f>
        <v>177.31</v>
      </c>
      <c r="Z6" s="41">
        <f t="shared" si="10"/>
        <v>244.08</v>
      </c>
      <c r="AB6" s="182">
        <f t="shared" ref="AB6:AC8" si="11">ROUNDDOWN(D6/(1-$Y$1)*1.2,1)</f>
        <v>177.3</v>
      </c>
      <c r="AC6" s="182">
        <f t="shared" si="11"/>
        <v>244</v>
      </c>
      <c r="AE6" s="40">
        <f t="shared" ref="AE6:AF8" si="12">AB6/1.2</f>
        <v>147.75000000000003</v>
      </c>
      <c r="AF6" s="40">
        <f t="shared" si="12"/>
        <v>203.33333333333334</v>
      </c>
      <c r="AH6" s="40">
        <f t="shared" ref="AH6:AI8" si="13">Y6-AB6</f>
        <v>9.9999999999909051E-3</v>
      </c>
      <c r="AI6" s="40">
        <f t="shared" si="13"/>
        <v>8.0000000000012506E-2</v>
      </c>
      <c r="AK6" s="130">
        <f t="shared" si="3"/>
        <v>8.8699999999999992</v>
      </c>
      <c r="AL6" s="130">
        <f t="shared" si="3"/>
        <v>12.2</v>
      </c>
      <c r="AM6" s="40"/>
      <c r="AN6" s="40">
        <f t="shared" ref="AN6:AN8" si="14">SUM(V6-G6)-AH6</f>
        <v>59.094000000000008</v>
      </c>
      <c r="AO6" s="40">
        <f t="shared" ref="AO6:AO8" si="15">SUM(W6-H6)-AI6</f>
        <v>81.28</v>
      </c>
      <c r="AP6" s="40"/>
      <c r="AQ6" s="144">
        <f t="shared" si="4"/>
        <v>9.9999999999999978E-2</v>
      </c>
      <c r="AR6" s="144">
        <f t="shared" si="4"/>
        <v>9.999999999999995E-2</v>
      </c>
      <c r="AS6" s="40"/>
      <c r="AT6" s="146">
        <f t="shared" si="5"/>
        <v>0.39993232268543594</v>
      </c>
      <c r="AU6" s="146">
        <f t="shared" si="5"/>
        <v>0.39960668633235003</v>
      </c>
      <c r="AV6" s="40"/>
      <c r="AW6" s="76">
        <f t="shared" si="6"/>
        <v>0.5</v>
      </c>
      <c r="AX6" s="76">
        <f t="shared" si="6"/>
        <v>0.5</v>
      </c>
      <c r="AY6" s="42"/>
      <c r="AZ6" s="42">
        <f t="shared" si="7"/>
        <v>73.87</v>
      </c>
      <c r="BA6" s="42">
        <f t="shared" si="7"/>
        <v>101.61999999999999</v>
      </c>
      <c r="BB6" s="42"/>
      <c r="BC6" s="76">
        <f t="shared" si="8"/>
        <v>0.49993232268543591</v>
      </c>
      <c r="BD6" s="76">
        <f t="shared" si="8"/>
        <v>0.49960668633235</v>
      </c>
      <c r="BE6" s="42"/>
    </row>
    <row r="7" spans="1:57" x14ac:dyDescent="0.25">
      <c r="A7" t="s">
        <v>135</v>
      </c>
      <c r="D7" s="162">
        <f>ROUND('AMT Standard from 1 Apr25'!D7+'AMT Inc Cruise from 1 Apr25'!$B$57,2)</f>
        <v>81.41</v>
      </c>
      <c r="E7" s="162">
        <f>ROUND('AMT Standard from 1 Apr25'!E7+'AMT Inc Cruise from 1 Apr25'!$B$58,2)</f>
        <v>113.84</v>
      </c>
      <c r="F7" s="81"/>
      <c r="G7" s="153">
        <f t="shared" si="0"/>
        <v>97.691999999999993</v>
      </c>
      <c r="H7" s="153">
        <f t="shared" si="0"/>
        <v>136.608</v>
      </c>
      <c r="J7" s="155">
        <f t="shared" ref="J7:K8" si="16">G7-D7</f>
        <v>16.281999999999996</v>
      </c>
      <c r="K7" s="155">
        <f t="shared" si="16"/>
        <v>22.768000000000001</v>
      </c>
      <c r="M7" s="134">
        <f t="shared" si="9"/>
        <v>107.459</v>
      </c>
      <c r="N7" s="134">
        <f t="shared" si="9"/>
        <v>150.27100000000002</v>
      </c>
      <c r="P7" s="134">
        <f t="shared" ref="P7:Q8" si="17">M7-D7</f>
        <v>26.049000000000007</v>
      </c>
      <c r="Q7" s="134">
        <f t="shared" si="17"/>
        <v>36.431000000000012</v>
      </c>
      <c r="S7" s="141">
        <f t="shared" si="1"/>
        <v>0.10000818900217009</v>
      </c>
      <c r="T7" s="141">
        <f t="shared" si="1"/>
        <v>9.9994143827594278E-2</v>
      </c>
      <c r="V7" s="41">
        <f t="shared" si="2"/>
        <v>162.82</v>
      </c>
      <c r="W7" s="41">
        <f t="shared" si="2"/>
        <v>227.68</v>
      </c>
      <c r="Y7" s="41">
        <f t="shared" si="10"/>
        <v>195.38</v>
      </c>
      <c r="Z7" s="41">
        <f t="shared" si="10"/>
        <v>273.22000000000003</v>
      </c>
      <c r="AB7" s="182">
        <f t="shared" si="11"/>
        <v>195.3</v>
      </c>
      <c r="AC7" s="182">
        <f t="shared" si="11"/>
        <v>273.2</v>
      </c>
      <c r="AE7" s="40">
        <f t="shared" si="12"/>
        <v>162.75000000000003</v>
      </c>
      <c r="AF7" s="40">
        <f t="shared" si="12"/>
        <v>227.66666666666666</v>
      </c>
      <c r="AH7" s="40">
        <f t="shared" si="13"/>
        <v>7.9999999999984084E-2</v>
      </c>
      <c r="AI7" s="40">
        <f t="shared" si="13"/>
        <v>2.0000000000038654E-2</v>
      </c>
      <c r="AK7" s="130">
        <f t="shared" si="3"/>
        <v>9.77</v>
      </c>
      <c r="AL7" s="130">
        <f t="shared" si="3"/>
        <v>13.66</v>
      </c>
      <c r="AM7" s="40"/>
      <c r="AN7" s="40">
        <f t="shared" si="14"/>
        <v>65.048000000000016</v>
      </c>
      <c r="AO7" s="40">
        <f t="shared" si="15"/>
        <v>91.051999999999964</v>
      </c>
      <c r="AP7" s="40"/>
      <c r="AQ7" s="144">
        <f t="shared" si="4"/>
        <v>9.9999999999999978E-2</v>
      </c>
      <c r="AR7" s="144">
        <f t="shared" si="4"/>
        <v>0.1</v>
      </c>
      <c r="AS7" s="40"/>
      <c r="AT7" s="146">
        <f t="shared" si="5"/>
        <v>0.399508659869795</v>
      </c>
      <c r="AU7" s="146">
        <f t="shared" si="5"/>
        <v>0.39991215741391412</v>
      </c>
      <c r="AV7" s="40"/>
      <c r="AW7" s="76">
        <f t="shared" si="6"/>
        <v>0.5</v>
      </c>
      <c r="AX7" s="76">
        <f t="shared" si="6"/>
        <v>0.5</v>
      </c>
      <c r="AY7" s="42"/>
      <c r="AZ7" s="42">
        <f t="shared" si="7"/>
        <v>81.330000000000013</v>
      </c>
      <c r="BA7" s="42">
        <f t="shared" si="7"/>
        <v>113.81999999999996</v>
      </c>
      <c r="BB7" s="42"/>
      <c r="BC7" s="76">
        <f t="shared" si="8"/>
        <v>0.49950865986979498</v>
      </c>
      <c r="BD7" s="76">
        <f t="shared" si="8"/>
        <v>0.49991215741391409</v>
      </c>
      <c r="BE7" s="42"/>
    </row>
    <row r="8" spans="1:57" x14ac:dyDescent="0.25">
      <c r="A8" t="s">
        <v>136</v>
      </c>
      <c r="D8" s="162">
        <f>ROUND('AMT Standard from 1 Apr25'!D8+'AMT Inc Cruise from 1 Apr25'!$B$57,2)</f>
        <v>84.79</v>
      </c>
      <c r="E8" s="162">
        <f>ROUND('AMT Standard from 1 Apr25'!E8+'AMT Inc Cruise from 1 Apr25'!$B$58,2)</f>
        <v>117.26</v>
      </c>
      <c r="F8" s="81"/>
      <c r="G8" s="153">
        <f t="shared" si="0"/>
        <v>101.748</v>
      </c>
      <c r="H8" s="153">
        <f t="shared" si="0"/>
        <v>140.71199999999999</v>
      </c>
      <c r="J8" s="155">
        <f t="shared" si="16"/>
        <v>16.957999999999998</v>
      </c>
      <c r="K8" s="155">
        <f t="shared" si="16"/>
        <v>23.451999999999984</v>
      </c>
      <c r="M8" s="134">
        <f t="shared" si="9"/>
        <v>111.92500000000001</v>
      </c>
      <c r="N8" s="134">
        <f t="shared" si="9"/>
        <v>154.78100000000003</v>
      </c>
      <c r="P8" s="134">
        <f t="shared" si="17"/>
        <v>27.135000000000005</v>
      </c>
      <c r="Q8" s="134">
        <f t="shared" si="17"/>
        <v>37.521000000000029</v>
      </c>
      <c r="S8" s="141">
        <f t="shared" si="1"/>
        <v>0.10005110665565907</v>
      </c>
      <c r="T8" s="141">
        <f t="shared" si="1"/>
        <v>9.9991471942691465E-2</v>
      </c>
      <c r="V8" s="41">
        <f t="shared" si="2"/>
        <v>169.58</v>
      </c>
      <c r="W8" s="41">
        <f t="shared" si="2"/>
        <v>234.52</v>
      </c>
      <c r="Y8" s="41">
        <f t="shared" si="10"/>
        <v>203.5</v>
      </c>
      <c r="Z8" s="41">
        <f t="shared" si="10"/>
        <v>281.42</v>
      </c>
      <c r="AB8" s="182">
        <f t="shared" si="11"/>
        <v>203.4</v>
      </c>
      <c r="AC8" s="182">
        <f t="shared" si="11"/>
        <v>281.39999999999998</v>
      </c>
      <c r="AE8" s="40">
        <f t="shared" si="12"/>
        <v>169.5</v>
      </c>
      <c r="AF8" s="40">
        <f t="shared" si="12"/>
        <v>234.5</v>
      </c>
      <c r="AH8" s="40">
        <f t="shared" si="13"/>
        <v>9.9999999999994316E-2</v>
      </c>
      <c r="AI8" s="40">
        <f t="shared" si="13"/>
        <v>2.0000000000038654E-2</v>
      </c>
      <c r="AK8" s="130">
        <f t="shared" si="3"/>
        <v>10.18</v>
      </c>
      <c r="AL8" s="130">
        <f t="shared" si="3"/>
        <v>14.07</v>
      </c>
      <c r="AM8" s="40"/>
      <c r="AN8" s="40">
        <f t="shared" si="14"/>
        <v>67.732000000000014</v>
      </c>
      <c r="AO8" s="40">
        <f t="shared" si="15"/>
        <v>93.787999999999982</v>
      </c>
      <c r="AP8" s="40"/>
      <c r="AQ8" s="144">
        <f t="shared" si="4"/>
        <v>9.9999999999999978E-2</v>
      </c>
      <c r="AR8" s="144">
        <f t="shared" si="4"/>
        <v>9.9999999999999922E-2</v>
      </c>
      <c r="AS8" s="40"/>
      <c r="AT8" s="146">
        <f t="shared" si="5"/>
        <v>0.39941030781931836</v>
      </c>
      <c r="AU8" s="146">
        <f t="shared" si="5"/>
        <v>0.39991471942691448</v>
      </c>
      <c r="AV8" s="40"/>
      <c r="AW8" s="76">
        <f t="shared" si="6"/>
        <v>0.5</v>
      </c>
      <c r="AX8" s="76">
        <f t="shared" si="6"/>
        <v>0.5</v>
      </c>
      <c r="AY8" s="42"/>
      <c r="AZ8" s="42">
        <f t="shared" si="7"/>
        <v>84.690000000000012</v>
      </c>
      <c r="BA8" s="42">
        <f t="shared" si="7"/>
        <v>117.23999999999997</v>
      </c>
      <c r="BB8" s="42"/>
      <c r="BC8" s="76">
        <f t="shared" si="8"/>
        <v>0.49941030781931833</v>
      </c>
      <c r="BD8" s="76">
        <f t="shared" si="8"/>
        <v>0.4999147194269144</v>
      </c>
      <c r="BE8" s="42"/>
    </row>
    <row r="9" spans="1:57" x14ac:dyDescent="0.25">
      <c r="A9"/>
      <c r="D9" s="162"/>
      <c r="E9" s="162"/>
      <c r="F9" s="41"/>
      <c r="G9" s="153"/>
      <c r="H9" s="153"/>
      <c r="I9" s="75"/>
      <c r="J9" s="156"/>
      <c r="K9" s="156"/>
      <c r="L9" s="75"/>
      <c r="M9" s="134"/>
      <c r="N9" s="134"/>
      <c r="P9" s="134"/>
      <c r="Q9" s="134"/>
      <c r="S9" s="140"/>
      <c r="T9" s="140"/>
      <c r="V9" s="40"/>
      <c r="W9" s="40"/>
      <c r="Y9" s="41"/>
      <c r="Z9" s="41"/>
      <c r="AK9" s="130"/>
      <c r="AL9" s="130"/>
      <c r="AM9" s="40"/>
      <c r="AN9" s="40"/>
      <c r="AO9" s="40"/>
      <c r="AP9" s="40"/>
      <c r="AQ9" s="145"/>
      <c r="AR9" s="145"/>
      <c r="AS9" s="40"/>
      <c r="AT9" s="146"/>
      <c r="AU9" s="146"/>
      <c r="AV9" s="40"/>
      <c r="AW9" s="76"/>
      <c r="AX9" s="76"/>
      <c r="AY9" s="42"/>
      <c r="AZ9" s="42"/>
      <c r="BA9" s="42"/>
      <c r="BB9" s="42"/>
      <c r="BC9" s="76"/>
      <c r="BD9" s="76"/>
      <c r="BE9" s="42"/>
    </row>
    <row r="10" spans="1:57" x14ac:dyDescent="0.25">
      <c r="A10" s="167" t="s">
        <v>137</v>
      </c>
      <c r="B10" s="4"/>
      <c r="D10" s="162"/>
      <c r="E10" s="162"/>
      <c r="F10" s="41"/>
      <c r="G10" s="153"/>
      <c r="H10" s="153"/>
      <c r="J10" s="154"/>
      <c r="K10" s="154"/>
      <c r="M10" s="134"/>
      <c r="N10" s="134"/>
      <c r="P10" s="134"/>
      <c r="Q10" s="134"/>
      <c r="S10" s="140"/>
      <c r="T10" s="140"/>
      <c r="V10" s="40"/>
      <c r="W10" s="40"/>
      <c r="Y10" s="41"/>
      <c r="Z10" s="41"/>
      <c r="AK10" s="130"/>
      <c r="AL10" s="130"/>
      <c r="AM10" s="40"/>
      <c r="AN10" s="40"/>
      <c r="AO10" s="40"/>
      <c r="AP10" s="40"/>
      <c r="AQ10" s="145"/>
      <c r="AR10" s="145"/>
      <c r="AS10" s="40"/>
      <c r="AT10" s="146"/>
      <c r="AU10" s="146"/>
      <c r="AV10" s="40"/>
      <c r="AW10" s="76"/>
      <c r="AX10" s="76"/>
      <c r="AY10" s="42"/>
      <c r="AZ10" s="42"/>
      <c r="BA10" s="42"/>
      <c r="BB10" s="42"/>
      <c r="BC10" s="76"/>
      <c r="BD10" s="76"/>
      <c r="BE10" s="42"/>
    </row>
    <row r="11" spans="1:57" x14ac:dyDescent="0.25">
      <c r="A11" t="s">
        <v>133</v>
      </c>
      <c r="D11" s="162">
        <f>ROUND('AMT Standard from 1 Apr25'!D11+'AMT Inc Cruise from 1 Apr25'!$B$57,2)</f>
        <v>49.25</v>
      </c>
      <c r="E11" s="162">
        <f>ROUND('AMT Standard from 1 Apr25'!E11+'AMT Inc Cruise from 1 Apr25'!$B$58,2)</f>
        <v>67.8</v>
      </c>
      <c r="F11" s="81"/>
      <c r="G11" s="153">
        <f t="shared" ref="G11:H14" si="18">D11*SUM(1+$G$1/$Y$1)</f>
        <v>59.099999999999994</v>
      </c>
      <c r="H11" s="153">
        <f t="shared" si="18"/>
        <v>81.36</v>
      </c>
      <c r="J11" s="155">
        <f t="shared" ref="J11:K14" si="19">G11-D11</f>
        <v>9.8499999999999943</v>
      </c>
      <c r="K11" s="155">
        <f t="shared" si="19"/>
        <v>13.560000000000002</v>
      </c>
      <c r="M11" s="134">
        <f>ROUND(D11*(1+$G$1*2),2)*SUM(1+$M$1)</f>
        <v>65.010000000000005</v>
      </c>
      <c r="N11" s="134">
        <f>ROUND(E11*(1+$G$1*2),2)*SUM(1+$M$1)</f>
        <v>89.496000000000009</v>
      </c>
      <c r="P11" s="134">
        <f t="shared" ref="P11:Q14" si="20">M11-D11</f>
        <v>15.760000000000005</v>
      </c>
      <c r="Q11" s="134">
        <f t="shared" si="20"/>
        <v>21.696000000000012</v>
      </c>
      <c r="S11" s="141">
        <f t="shared" ref="S11:T14" si="21">AK11/G11</f>
        <v>0.1</v>
      </c>
      <c r="T11" s="141">
        <f t="shared" si="21"/>
        <v>0.10004916420845625</v>
      </c>
      <c r="V11" s="41">
        <f t="shared" ref="V11:W14" si="22">SUM(D11/(1-$Y$1))</f>
        <v>98.5</v>
      </c>
      <c r="W11" s="41">
        <f t="shared" si="22"/>
        <v>135.6</v>
      </c>
      <c r="Y11" s="41">
        <f>ROUND(D11/(1-$Y$1)*1.2,2)</f>
        <v>118.2</v>
      </c>
      <c r="Z11" s="41">
        <f>ROUND(E11/(1-$Y$1)*1.2,2)</f>
        <v>162.72</v>
      </c>
      <c r="AB11" s="182">
        <f t="shared" ref="AB11:AC14" si="23">ROUNDDOWN(D11/(1-$Y$1)*1.2,1)</f>
        <v>118.2</v>
      </c>
      <c r="AC11" s="182">
        <f t="shared" si="23"/>
        <v>162.69999999999999</v>
      </c>
      <c r="AE11" s="40">
        <f t="shared" ref="AE11:AF14" si="24">AB11/1.2</f>
        <v>98.5</v>
      </c>
      <c r="AF11" s="40">
        <f t="shared" si="24"/>
        <v>135.58333333333334</v>
      </c>
      <c r="AH11" s="40">
        <f t="shared" ref="AH11:AI14" si="25">Y11-AB11</f>
        <v>0</v>
      </c>
      <c r="AI11" s="40">
        <f t="shared" si="25"/>
        <v>2.0000000000010232E-2</v>
      </c>
      <c r="AK11" s="130">
        <f t="shared" ref="AK11:AL14" si="26">ROUND(M11*(1-(1/(1+$AL$1))),2)</f>
        <v>5.91</v>
      </c>
      <c r="AL11" s="130">
        <f t="shared" si="26"/>
        <v>8.14</v>
      </c>
      <c r="AM11" s="40"/>
      <c r="AN11" s="40">
        <f t="shared" ref="AN11:AN14" si="27">SUM(V11-G11)-AH11</f>
        <v>39.400000000000006</v>
      </c>
      <c r="AO11" s="40">
        <f t="shared" ref="AO11:AO14" si="28">SUM(W11-H11)-AI11</f>
        <v>54.219999999999985</v>
      </c>
      <c r="AP11" s="40"/>
      <c r="AQ11" s="144">
        <f t="shared" ref="AQ11:AR14" si="29">(SUM(G11-D11)/D11*$Y$1)</f>
        <v>9.9999999999999936E-2</v>
      </c>
      <c r="AR11" s="144">
        <f t="shared" si="29"/>
        <v>0.10000000000000002</v>
      </c>
      <c r="AS11" s="40"/>
      <c r="AT11" s="146">
        <f t="shared" ref="AT11:AU14" si="30">AN11/V11</f>
        <v>0.40000000000000008</v>
      </c>
      <c r="AU11" s="146">
        <f t="shared" si="30"/>
        <v>0.39985250737463118</v>
      </c>
      <c r="AV11" s="40"/>
      <c r="AW11" s="76">
        <f t="shared" ref="AW11:AX14" si="31">D11/V11</f>
        <v>0.5</v>
      </c>
      <c r="AX11" s="76">
        <f t="shared" si="31"/>
        <v>0.5</v>
      </c>
      <c r="AY11" s="42"/>
      <c r="AZ11" s="42">
        <f t="shared" ref="AZ11:BA14" si="32">J11+AN11</f>
        <v>49.25</v>
      </c>
      <c r="BA11" s="42">
        <f t="shared" si="32"/>
        <v>67.779999999999987</v>
      </c>
      <c r="BB11" s="42"/>
      <c r="BC11" s="76">
        <f t="shared" ref="BC11:BD14" si="33">AZ11/(D11/$Y$1)</f>
        <v>0.5</v>
      </c>
      <c r="BD11" s="76">
        <f t="shared" si="33"/>
        <v>0.49985250737463122</v>
      </c>
      <c r="BE11" s="42"/>
    </row>
    <row r="12" spans="1:57" x14ac:dyDescent="0.25">
      <c r="A12" t="s">
        <v>134</v>
      </c>
      <c r="D12" s="162">
        <f t="shared" ref="D12:E12" si="34">ROUND(D11*1.5,2)</f>
        <v>73.88</v>
      </c>
      <c r="E12" s="162">
        <f t="shared" si="34"/>
        <v>101.7</v>
      </c>
      <c r="F12" s="81"/>
      <c r="G12" s="153">
        <f t="shared" si="18"/>
        <v>88.655999999999992</v>
      </c>
      <c r="H12" s="153">
        <f t="shared" si="18"/>
        <v>122.03999999999999</v>
      </c>
      <c r="J12" s="155">
        <f t="shared" si="19"/>
        <v>14.775999999999996</v>
      </c>
      <c r="K12" s="155">
        <f t="shared" si="19"/>
        <v>20.339999999999989</v>
      </c>
      <c r="M12" s="134">
        <f>ROUND(D12*(1+$G$1*2),2)*SUM(1+$M$1)</f>
        <v>97.52600000000001</v>
      </c>
      <c r="N12" s="134">
        <f t="shared" ref="M12:N14" si="35">ROUND(E12*(1+$G$1*2),2)*SUM(1+$M$1)</f>
        <v>134.24400000000003</v>
      </c>
      <c r="P12" s="134">
        <f t="shared" si="20"/>
        <v>23.646000000000015</v>
      </c>
      <c r="Q12" s="134">
        <f t="shared" si="20"/>
        <v>32.544000000000025</v>
      </c>
      <c r="S12" s="141">
        <f t="shared" si="21"/>
        <v>0.10004963003068039</v>
      </c>
      <c r="T12" s="141">
        <f t="shared" si="21"/>
        <v>9.9967223861029172E-2</v>
      </c>
      <c r="V12" s="41">
        <f t="shared" si="22"/>
        <v>147.76</v>
      </c>
      <c r="W12" s="41">
        <f t="shared" si="22"/>
        <v>203.4</v>
      </c>
      <c r="Y12" s="41">
        <f t="shared" ref="Y12:Z14" si="36">ROUND(D12/(1-$Y$1)*1.2,2)</f>
        <v>177.31</v>
      </c>
      <c r="Z12" s="41">
        <f t="shared" si="36"/>
        <v>244.08</v>
      </c>
      <c r="AB12" s="182">
        <f t="shared" si="23"/>
        <v>177.3</v>
      </c>
      <c r="AC12" s="182">
        <f t="shared" si="23"/>
        <v>244</v>
      </c>
      <c r="AE12" s="40">
        <f t="shared" si="24"/>
        <v>147.75000000000003</v>
      </c>
      <c r="AF12" s="40">
        <f t="shared" si="24"/>
        <v>203.33333333333334</v>
      </c>
      <c r="AH12" s="40">
        <f t="shared" si="25"/>
        <v>9.9999999999909051E-3</v>
      </c>
      <c r="AI12" s="40">
        <f t="shared" si="25"/>
        <v>8.0000000000012506E-2</v>
      </c>
      <c r="AK12" s="130">
        <f t="shared" si="26"/>
        <v>8.8699999999999992</v>
      </c>
      <c r="AL12" s="130">
        <f t="shared" si="26"/>
        <v>12.2</v>
      </c>
      <c r="AM12" s="40"/>
      <c r="AN12" s="40">
        <f t="shared" si="27"/>
        <v>59.094000000000008</v>
      </c>
      <c r="AO12" s="40">
        <f t="shared" si="28"/>
        <v>81.28</v>
      </c>
      <c r="AP12" s="40"/>
      <c r="AQ12" s="144">
        <f t="shared" si="29"/>
        <v>9.9999999999999978E-2</v>
      </c>
      <c r="AR12" s="144">
        <f t="shared" si="29"/>
        <v>9.999999999999995E-2</v>
      </c>
      <c r="AS12" s="40"/>
      <c r="AT12" s="146">
        <f t="shared" si="30"/>
        <v>0.39993232268543594</v>
      </c>
      <c r="AU12" s="146">
        <f t="shared" si="30"/>
        <v>0.39960668633235003</v>
      </c>
      <c r="AV12" s="40"/>
      <c r="AW12" s="76">
        <f t="shared" si="31"/>
        <v>0.5</v>
      </c>
      <c r="AX12" s="76">
        <f t="shared" si="31"/>
        <v>0.5</v>
      </c>
      <c r="AY12" s="42"/>
      <c r="AZ12" s="42">
        <f t="shared" si="32"/>
        <v>73.87</v>
      </c>
      <c r="BA12" s="42">
        <f t="shared" si="32"/>
        <v>101.61999999999999</v>
      </c>
      <c r="BB12" s="42"/>
      <c r="BC12" s="76">
        <f t="shared" si="33"/>
        <v>0.49993232268543591</v>
      </c>
      <c r="BD12" s="76">
        <f t="shared" si="33"/>
        <v>0.49960668633235</v>
      </c>
      <c r="BE12" s="42"/>
    </row>
    <row r="13" spans="1:57" x14ac:dyDescent="0.25">
      <c r="A13" t="s">
        <v>135</v>
      </c>
      <c r="D13" s="162">
        <f>ROUND('AMT Standard from 1 Apr25'!D13+'AMT Inc Cruise from 1 Apr25'!$B$57,2)</f>
        <v>81.41</v>
      </c>
      <c r="E13" s="162">
        <f>ROUND('AMT Standard from 1 Apr25'!E13+'AMT Inc Cruise from 1 Apr25'!$B$58,2)</f>
        <v>113.84</v>
      </c>
      <c r="F13" s="81"/>
      <c r="G13" s="153">
        <f t="shared" si="18"/>
        <v>97.691999999999993</v>
      </c>
      <c r="H13" s="153">
        <f t="shared" si="18"/>
        <v>136.608</v>
      </c>
      <c r="J13" s="155">
        <f t="shared" si="19"/>
        <v>16.281999999999996</v>
      </c>
      <c r="K13" s="155">
        <f t="shared" si="19"/>
        <v>22.768000000000001</v>
      </c>
      <c r="M13" s="134">
        <f t="shared" si="35"/>
        <v>107.459</v>
      </c>
      <c r="N13" s="134">
        <f t="shared" si="35"/>
        <v>150.27100000000002</v>
      </c>
      <c r="P13" s="134">
        <f t="shared" si="20"/>
        <v>26.049000000000007</v>
      </c>
      <c r="Q13" s="134">
        <f t="shared" si="20"/>
        <v>36.431000000000012</v>
      </c>
      <c r="S13" s="141">
        <f t="shared" si="21"/>
        <v>0.10000818900217009</v>
      </c>
      <c r="T13" s="141">
        <f t="shared" si="21"/>
        <v>9.9994143827594278E-2</v>
      </c>
      <c r="V13" s="41">
        <f t="shared" si="22"/>
        <v>162.82</v>
      </c>
      <c r="W13" s="41">
        <f t="shared" si="22"/>
        <v>227.68</v>
      </c>
      <c r="Y13" s="41">
        <f t="shared" si="36"/>
        <v>195.38</v>
      </c>
      <c r="Z13" s="41">
        <f t="shared" si="36"/>
        <v>273.22000000000003</v>
      </c>
      <c r="AB13" s="182">
        <f t="shared" si="23"/>
        <v>195.3</v>
      </c>
      <c r="AC13" s="182">
        <f t="shared" si="23"/>
        <v>273.2</v>
      </c>
      <c r="AE13" s="40">
        <f t="shared" si="24"/>
        <v>162.75000000000003</v>
      </c>
      <c r="AF13" s="40">
        <f t="shared" si="24"/>
        <v>227.66666666666666</v>
      </c>
      <c r="AH13" s="40">
        <f t="shared" si="25"/>
        <v>7.9999999999984084E-2</v>
      </c>
      <c r="AI13" s="40">
        <f t="shared" si="25"/>
        <v>2.0000000000038654E-2</v>
      </c>
      <c r="AK13" s="130">
        <f t="shared" si="26"/>
        <v>9.77</v>
      </c>
      <c r="AL13" s="130">
        <f t="shared" si="26"/>
        <v>13.66</v>
      </c>
      <c r="AM13" s="40"/>
      <c r="AN13" s="40">
        <f t="shared" si="27"/>
        <v>65.048000000000016</v>
      </c>
      <c r="AO13" s="40">
        <f t="shared" si="28"/>
        <v>91.051999999999964</v>
      </c>
      <c r="AP13" s="40"/>
      <c r="AQ13" s="144">
        <f t="shared" si="29"/>
        <v>9.9999999999999978E-2</v>
      </c>
      <c r="AR13" s="144">
        <f t="shared" si="29"/>
        <v>0.1</v>
      </c>
      <c r="AS13" s="40"/>
      <c r="AT13" s="146">
        <f t="shared" si="30"/>
        <v>0.399508659869795</v>
      </c>
      <c r="AU13" s="146">
        <f t="shared" si="30"/>
        <v>0.39991215741391412</v>
      </c>
      <c r="AV13" s="40"/>
      <c r="AW13" s="76">
        <f t="shared" si="31"/>
        <v>0.5</v>
      </c>
      <c r="AX13" s="76">
        <f t="shared" si="31"/>
        <v>0.5</v>
      </c>
      <c r="AY13" s="42"/>
      <c r="AZ13" s="42">
        <f t="shared" si="32"/>
        <v>81.330000000000013</v>
      </c>
      <c r="BA13" s="42">
        <f t="shared" si="32"/>
        <v>113.81999999999996</v>
      </c>
      <c r="BB13" s="42"/>
      <c r="BC13" s="76">
        <f t="shared" si="33"/>
        <v>0.49950865986979498</v>
      </c>
      <c r="BD13" s="76">
        <f t="shared" si="33"/>
        <v>0.49991215741391409</v>
      </c>
      <c r="BE13" s="42"/>
    </row>
    <row r="14" spans="1:57" x14ac:dyDescent="0.25">
      <c r="A14" t="s">
        <v>136</v>
      </c>
      <c r="D14" s="162">
        <f>ROUND('AMT Standard from 1 Apr25'!D14+'AMT Inc Cruise from 1 Apr25'!$B$57,2)</f>
        <v>84.79</v>
      </c>
      <c r="E14" s="162">
        <f>ROUND('AMT Standard from 1 Apr25'!E14+'AMT Inc Cruise from 1 Apr25'!$B$58,2)</f>
        <v>117.26</v>
      </c>
      <c r="F14" s="81"/>
      <c r="G14" s="153">
        <f t="shared" si="18"/>
        <v>101.748</v>
      </c>
      <c r="H14" s="153">
        <f t="shared" si="18"/>
        <v>140.71199999999999</v>
      </c>
      <c r="J14" s="155">
        <f t="shared" si="19"/>
        <v>16.957999999999998</v>
      </c>
      <c r="K14" s="155">
        <f t="shared" si="19"/>
        <v>23.451999999999984</v>
      </c>
      <c r="M14" s="134">
        <f t="shared" si="35"/>
        <v>111.92500000000001</v>
      </c>
      <c r="N14" s="134">
        <f t="shared" si="35"/>
        <v>154.78100000000003</v>
      </c>
      <c r="P14" s="134">
        <f t="shared" si="20"/>
        <v>27.135000000000005</v>
      </c>
      <c r="Q14" s="134">
        <f t="shared" si="20"/>
        <v>37.521000000000029</v>
      </c>
      <c r="S14" s="141">
        <f t="shared" si="21"/>
        <v>0.10005110665565907</v>
      </c>
      <c r="T14" s="141">
        <f t="shared" si="21"/>
        <v>9.9991471942691465E-2</v>
      </c>
      <c r="V14" s="41">
        <f t="shared" si="22"/>
        <v>169.58</v>
      </c>
      <c r="W14" s="41">
        <f t="shared" si="22"/>
        <v>234.52</v>
      </c>
      <c r="Y14" s="41">
        <f t="shared" si="36"/>
        <v>203.5</v>
      </c>
      <c r="Z14" s="41">
        <f t="shared" si="36"/>
        <v>281.42</v>
      </c>
      <c r="AB14" s="182">
        <f t="shared" si="23"/>
        <v>203.4</v>
      </c>
      <c r="AC14" s="182">
        <f t="shared" si="23"/>
        <v>281.39999999999998</v>
      </c>
      <c r="AE14" s="40">
        <f t="shared" si="24"/>
        <v>169.5</v>
      </c>
      <c r="AF14" s="40">
        <f t="shared" si="24"/>
        <v>234.5</v>
      </c>
      <c r="AH14" s="40">
        <f t="shared" si="25"/>
        <v>9.9999999999994316E-2</v>
      </c>
      <c r="AI14" s="40">
        <f t="shared" si="25"/>
        <v>2.0000000000038654E-2</v>
      </c>
      <c r="AK14" s="130">
        <f t="shared" si="26"/>
        <v>10.18</v>
      </c>
      <c r="AL14" s="130">
        <f t="shared" si="26"/>
        <v>14.07</v>
      </c>
      <c r="AM14" s="40"/>
      <c r="AN14" s="40">
        <f t="shared" si="27"/>
        <v>67.732000000000014</v>
      </c>
      <c r="AO14" s="40">
        <f t="shared" si="28"/>
        <v>93.787999999999982</v>
      </c>
      <c r="AP14" s="40"/>
      <c r="AQ14" s="144">
        <f t="shared" si="29"/>
        <v>9.9999999999999978E-2</v>
      </c>
      <c r="AR14" s="144">
        <f t="shared" si="29"/>
        <v>9.9999999999999922E-2</v>
      </c>
      <c r="AS14" s="40"/>
      <c r="AT14" s="146">
        <f t="shared" si="30"/>
        <v>0.39941030781931836</v>
      </c>
      <c r="AU14" s="146">
        <f t="shared" si="30"/>
        <v>0.39991471942691448</v>
      </c>
      <c r="AV14" s="40"/>
      <c r="AW14" s="76">
        <f t="shared" si="31"/>
        <v>0.5</v>
      </c>
      <c r="AX14" s="76">
        <f t="shared" si="31"/>
        <v>0.5</v>
      </c>
      <c r="AY14" s="42"/>
      <c r="AZ14" s="42">
        <f t="shared" si="32"/>
        <v>84.690000000000012</v>
      </c>
      <c r="BA14" s="42">
        <f t="shared" si="32"/>
        <v>117.23999999999997</v>
      </c>
      <c r="BB14" s="42"/>
      <c r="BC14" s="76">
        <f t="shared" si="33"/>
        <v>0.49941030781931833</v>
      </c>
      <c r="BD14" s="76">
        <f t="shared" si="33"/>
        <v>0.4999147194269144</v>
      </c>
      <c r="BE14" s="42"/>
    </row>
    <row r="15" spans="1:57" x14ac:dyDescent="0.25">
      <c r="A15"/>
      <c r="D15" s="150"/>
      <c r="E15" s="150"/>
      <c r="F15" s="41"/>
      <c r="G15" s="153"/>
      <c r="H15" s="153"/>
      <c r="J15" s="154"/>
      <c r="K15" s="154"/>
      <c r="M15" s="134"/>
      <c r="N15" s="134"/>
      <c r="P15" s="134"/>
      <c r="Q15" s="134"/>
      <c r="S15" s="140"/>
      <c r="T15" s="140"/>
      <c r="V15" s="40"/>
      <c r="W15" s="40"/>
      <c r="Y15" s="41"/>
      <c r="Z15" s="41"/>
      <c r="AK15" s="130"/>
      <c r="AL15" s="130"/>
      <c r="AM15" s="40"/>
      <c r="AN15" s="40"/>
      <c r="AO15" s="40"/>
      <c r="AP15" s="40"/>
      <c r="AQ15" s="145"/>
      <c r="AR15" s="145"/>
      <c r="AS15" s="40"/>
      <c r="AT15" s="146"/>
      <c r="AU15" s="146"/>
      <c r="AV15" s="40"/>
      <c r="AW15" s="76"/>
      <c r="AX15" s="76"/>
      <c r="AY15" s="42"/>
      <c r="AZ15" s="42"/>
      <c r="BA15" s="42"/>
      <c r="BB15" s="42"/>
      <c r="BC15" s="76"/>
      <c r="BD15" s="76"/>
      <c r="BE15" s="42"/>
    </row>
    <row r="16" spans="1:57" x14ac:dyDescent="0.25">
      <c r="A16" s="167" t="s">
        <v>138</v>
      </c>
      <c r="B16" s="4"/>
      <c r="D16" s="149"/>
      <c r="E16" s="149"/>
      <c r="F16" s="41"/>
      <c r="G16" s="153"/>
      <c r="H16" s="153"/>
      <c r="J16" s="154"/>
      <c r="K16" s="154"/>
      <c r="M16" s="134"/>
      <c r="N16" s="134"/>
      <c r="P16" s="134"/>
      <c r="Q16" s="134"/>
      <c r="S16" s="140"/>
      <c r="T16" s="140"/>
      <c r="V16" s="40"/>
      <c r="W16" s="40"/>
      <c r="Y16" s="41"/>
      <c r="Z16" s="41"/>
      <c r="AK16" s="130"/>
      <c r="AL16" s="130"/>
      <c r="AM16" s="40"/>
      <c r="AN16" s="40"/>
      <c r="AO16" s="40"/>
      <c r="AP16" s="40"/>
      <c r="AQ16" s="145"/>
      <c r="AR16" s="145"/>
      <c r="AS16" s="40"/>
      <c r="AT16" s="146"/>
      <c r="AU16" s="146"/>
      <c r="AV16" s="40"/>
      <c r="AW16" s="76"/>
      <c r="AX16" s="76"/>
      <c r="AY16" s="42"/>
      <c r="AZ16" s="42"/>
      <c r="BA16" s="42"/>
      <c r="BB16" s="42"/>
      <c r="BC16" s="76"/>
      <c r="BD16" s="76"/>
      <c r="BE16" s="42"/>
    </row>
    <row r="17" spans="1:57" x14ac:dyDescent="0.25">
      <c r="A17" t="s">
        <v>133</v>
      </c>
      <c r="D17" s="162">
        <f>ROUND('AMT Standard from 1 Apr25'!D17+'AMT Inc Cruise from 1 Apr25'!$B$57,2)</f>
        <v>108.75</v>
      </c>
      <c r="E17" s="162">
        <f>ROUND('AMT Standard from 1 Apr25'!E17+'AMT Inc Cruise from 1 Apr25'!$B$58,2)</f>
        <v>156.51</v>
      </c>
      <c r="F17" s="81"/>
      <c r="G17" s="153">
        <f t="shared" ref="G17:H20" si="37">D17*SUM(1+$G$1/$Y$1)</f>
        <v>130.5</v>
      </c>
      <c r="H17" s="153">
        <f t="shared" si="37"/>
        <v>187.81199999999998</v>
      </c>
      <c r="I17" s="83"/>
      <c r="J17" s="155">
        <f t="shared" ref="J17:K20" si="38">G17-D17</f>
        <v>21.75</v>
      </c>
      <c r="K17" s="155">
        <f t="shared" si="38"/>
        <v>31.301999999999992</v>
      </c>
      <c r="L17" s="83"/>
      <c r="M17" s="134">
        <f>ROUND(D17*(1+$G$1*2),2)*SUM(1+$M$1)</f>
        <v>143.55000000000001</v>
      </c>
      <c r="N17" s="134">
        <f>ROUND(E17*(1+$G$1*2),2)*SUM(1+$M$1)</f>
        <v>206.59100000000001</v>
      </c>
      <c r="P17" s="134">
        <f t="shared" ref="P17:Q20" si="39">M17-D17</f>
        <v>34.800000000000011</v>
      </c>
      <c r="Q17" s="134">
        <f t="shared" si="39"/>
        <v>50.081000000000017</v>
      </c>
      <c r="S17" s="141">
        <f t="shared" ref="S17:T20" si="40">AK17/G17</f>
        <v>0.1</v>
      </c>
      <c r="T17" s="141">
        <f t="shared" si="40"/>
        <v>9.9993610631908522E-2</v>
      </c>
      <c r="V17" s="41">
        <f t="shared" ref="V17:W20" si="41">SUM(D17/(1-$Y$1))</f>
        <v>217.5</v>
      </c>
      <c r="W17" s="41">
        <f t="shared" si="41"/>
        <v>313.02</v>
      </c>
      <c r="Y17" s="41">
        <f>ROUND(D17/(1-$Y$1)*1.2,2)</f>
        <v>261</v>
      </c>
      <c r="Z17" s="41">
        <f>ROUND(E17/(1-$Y$1)*1.2,2)</f>
        <v>375.62</v>
      </c>
      <c r="AB17" s="182">
        <f t="shared" ref="AB17:AC20" si="42">ROUNDDOWN(D17/(1-$Y$1)*1.2,1)</f>
        <v>261</v>
      </c>
      <c r="AC17" s="182">
        <f t="shared" si="42"/>
        <v>375.6</v>
      </c>
      <c r="AE17" s="40">
        <f t="shared" ref="AE17:AF20" si="43">AB17/1.2</f>
        <v>217.5</v>
      </c>
      <c r="AF17" s="40">
        <f t="shared" si="43"/>
        <v>313.00000000000006</v>
      </c>
      <c r="AH17" s="40">
        <f t="shared" ref="AH17:AI20" si="44">Y17-AB17</f>
        <v>0</v>
      </c>
      <c r="AI17" s="40">
        <f t="shared" si="44"/>
        <v>1.999999999998181E-2</v>
      </c>
      <c r="AK17" s="130">
        <f t="shared" ref="AK17:AL20" si="45">ROUND(M17*(1-(1/(1+$AL$1))),2)</f>
        <v>13.05</v>
      </c>
      <c r="AL17" s="130">
        <f t="shared" si="45"/>
        <v>18.78</v>
      </c>
      <c r="AM17" s="40"/>
      <c r="AN17" s="40">
        <f t="shared" ref="AN17:AN20" si="46">SUM(V17-G17)-AH17</f>
        <v>87</v>
      </c>
      <c r="AO17" s="40">
        <f t="shared" ref="AO17:AO20" si="47">SUM(W17-H17)-AI17</f>
        <v>125.18800000000002</v>
      </c>
      <c r="AP17" s="40"/>
      <c r="AQ17" s="144">
        <f t="shared" ref="AQ17:AR20" si="48">(SUM(G17-D17)/D17*$Y$1)</f>
        <v>0.1</v>
      </c>
      <c r="AR17" s="144">
        <f t="shared" si="48"/>
        <v>9.9999999999999978E-2</v>
      </c>
      <c r="AS17" s="40"/>
      <c r="AT17" s="146">
        <f t="shared" ref="AT17:AU20" si="49">AN17/V17</f>
        <v>0.4</v>
      </c>
      <c r="AU17" s="146">
        <f t="shared" si="49"/>
        <v>0.39993610631908511</v>
      </c>
      <c r="AV17" s="40"/>
      <c r="AW17" s="76">
        <f t="shared" ref="AW17:AX20" si="50">D17/V17</f>
        <v>0.5</v>
      </c>
      <c r="AX17" s="76">
        <f t="shared" si="50"/>
        <v>0.5</v>
      </c>
      <c r="AY17" s="42"/>
      <c r="AZ17" s="42">
        <f t="shared" ref="AZ17:BA20" si="51">J17+AN17</f>
        <v>108.75</v>
      </c>
      <c r="BA17" s="42">
        <f t="shared" si="51"/>
        <v>156.49</v>
      </c>
      <c r="BB17" s="42"/>
      <c r="BC17" s="76">
        <f t="shared" ref="BC17:BD20" si="52">AZ17/(D17/$Y$1)</f>
        <v>0.5</v>
      </c>
      <c r="BD17" s="76">
        <f t="shared" si="52"/>
        <v>0.49993610631908508</v>
      </c>
      <c r="BE17" s="42"/>
    </row>
    <row r="18" spans="1:57" x14ac:dyDescent="0.25">
      <c r="A18" t="s">
        <v>134</v>
      </c>
      <c r="D18" s="162">
        <f t="shared" ref="D18" si="53">ROUND(D17*1.5,2)</f>
        <v>163.13</v>
      </c>
      <c r="E18" s="162">
        <f t="shared" ref="E18" si="54">ROUND(E17*1.5,2)</f>
        <v>234.77</v>
      </c>
      <c r="F18" s="81"/>
      <c r="G18" s="153">
        <f t="shared" si="37"/>
        <v>195.756</v>
      </c>
      <c r="H18" s="153">
        <f t="shared" si="37"/>
        <v>281.72399999999999</v>
      </c>
      <c r="I18" s="83"/>
      <c r="J18" s="155">
        <f t="shared" si="38"/>
        <v>32.626000000000005</v>
      </c>
      <c r="K18" s="155">
        <f t="shared" si="38"/>
        <v>46.953999999999979</v>
      </c>
      <c r="L18" s="83"/>
      <c r="M18" s="134">
        <f t="shared" ref="M18:N20" si="55">ROUND(D18*(1+$G$1*2),2)*SUM(1+$M$1)</f>
        <v>215.33600000000001</v>
      </c>
      <c r="N18" s="134">
        <f t="shared" si="55"/>
        <v>309.89200000000005</v>
      </c>
      <c r="P18" s="134">
        <f t="shared" si="39"/>
        <v>52.206000000000017</v>
      </c>
      <c r="Q18" s="134">
        <f t="shared" si="39"/>
        <v>75.122000000000043</v>
      </c>
      <c r="S18" s="141">
        <f t="shared" si="40"/>
        <v>0.10002247696111485</v>
      </c>
      <c r="T18" s="141">
        <f t="shared" si="40"/>
        <v>9.9991481023980922E-2</v>
      </c>
      <c r="V18" s="41">
        <f t="shared" si="41"/>
        <v>326.26</v>
      </c>
      <c r="W18" s="41">
        <f t="shared" si="41"/>
        <v>469.54</v>
      </c>
      <c r="Y18" s="41">
        <f t="shared" ref="Y18:Z20" si="56">ROUND(D18/(1-$Y$1)*1.2,2)</f>
        <v>391.51</v>
      </c>
      <c r="Z18" s="41">
        <f t="shared" si="56"/>
        <v>563.45000000000005</v>
      </c>
      <c r="AB18" s="182">
        <f t="shared" si="42"/>
        <v>391.5</v>
      </c>
      <c r="AC18" s="182">
        <f t="shared" si="42"/>
        <v>563.4</v>
      </c>
      <c r="AE18" s="40">
        <f t="shared" si="43"/>
        <v>326.25</v>
      </c>
      <c r="AF18" s="40">
        <f t="shared" si="43"/>
        <v>469.5</v>
      </c>
      <c r="AH18" s="40">
        <f t="shared" si="44"/>
        <v>9.9999999999909051E-3</v>
      </c>
      <c r="AI18" s="40">
        <f t="shared" si="44"/>
        <v>5.0000000000068212E-2</v>
      </c>
      <c r="AK18" s="130">
        <f t="shared" si="45"/>
        <v>19.579999999999998</v>
      </c>
      <c r="AL18" s="130">
        <f t="shared" si="45"/>
        <v>28.17</v>
      </c>
      <c r="AM18" s="40"/>
      <c r="AN18" s="40">
        <f t="shared" si="46"/>
        <v>130.494</v>
      </c>
      <c r="AO18" s="40">
        <f t="shared" si="47"/>
        <v>187.76599999999996</v>
      </c>
      <c r="AP18" s="40"/>
      <c r="AQ18" s="144">
        <f t="shared" si="48"/>
        <v>0.10000000000000002</v>
      </c>
      <c r="AR18" s="144">
        <f t="shared" si="48"/>
        <v>9.999999999999995E-2</v>
      </c>
      <c r="AS18" s="40"/>
      <c r="AT18" s="146">
        <f t="shared" si="49"/>
        <v>0.39996934959847974</v>
      </c>
      <c r="AU18" s="146">
        <f t="shared" si="49"/>
        <v>0.39989351279976137</v>
      </c>
      <c r="AV18" s="40"/>
      <c r="AW18" s="76">
        <f t="shared" si="50"/>
        <v>0.5</v>
      </c>
      <c r="AX18" s="76">
        <f t="shared" si="50"/>
        <v>0.5</v>
      </c>
      <c r="AY18" s="42"/>
      <c r="AZ18" s="42">
        <f t="shared" si="51"/>
        <v>163.12</v>
      </c>
      <c r="BA18" s="42">
        <f t="shared" si="51"/>
        <v>234.71999999999994</v>
      </c>
      <c r="BB18" s="42"/>
      <c r="BC18" s="76">
        <f t="shared" si="52"/>
        <v>0.49996934959847977</v>
      </c>
      <c r="BD18" s="76">
        <f t="shared" si="52"/>
        <v>0.4998935127997613</v>
      </c>
      <c r="BE18" s="42"/>
    </row>
    <row r="19" spans="1:57" x14ac:dyDescent="0.25">
      <c r="A19" t="s">
        <v>135</v>
      </c>
      <c r="D19" s="162">
        <f>ROUND('AMT Standard from 1 Apr25'!D19+'AMT Inc Cruise from 1 Apr25'!$B$57,2)</f>
        <v>173.22</v>
      </c>
      <c r="E19" s="162">
        <f>ROUND('AMT Standard from 1 Apr25'!E19+'AMT Inc Cruise from 1 Apr25'!$B$58,2)</f>
        <v>253.25</v>
      </c>
      <c r="F19" s="81"/>
      <c r="G19" s="153">
        <f t="shared" si="37"/>
        <v>207.864</v>
      </c>
      <c r="H19" s="153">
        <f t="shared" si="37"/>
        <v>303.89999999999998</v>
      </c>
      <c r="J19" s="155">
        <f t="shared" si="38"/>
        <v>34.644000000000005</v>
      </c>
      <c r="K19" s="155">
        <f t="shared" si="38"/>
        <v>50.649999999999977</v>
      </c>
      <c r="M19" s="134">
        <f t="shared" si="55"/>
        <v>228.64600000000004</v>
      </c>
      <c r="N19" s="134">
        <f t="shared" si="55"/>
        <v>334.29</v>
      </c>
      <c r="P19" s="134">
        <f t="shared" si="39"/>
        <v>55.426000000000045</v>
      </c>
      <c r="Q19" s="134">
        <f t="shared" si="39"/>
        <v>81.04000000000002</v>
      </c>
      <c r="S19" s="141">
        <f t="shared" si="40"/>
        <v>0.10001731901627987</v>
      </c>
      <c r="T19" s="141">
        <f t="shared" si="40"/>
        <v>0.1</v>
      </c>
      <c r="V19" s="41">
        <f t="shared" si="41"/>
        <v>346.44</v>
      </c>
      <c r="W19" s="41">
        <f t="shared" si="41"/>
        <v>506.5</v>
      </c>
      <c r="Y19" s="41">
        <f t="shared" si="56"/>
        <v>415.73</v>
      </c>
      <c r="Z19" s="41">
        <f t="shared" si="56"/>
        <v>607.79999999999995</v>
      </c>
      <c r="AB19" s="182">
        <f t="shared" si="42"/>
        <v>415.7</v>
      </c>
      <c r="AC19" s="182">
        <f t="shared" si="42"/>
        <v>607.79999999999995</v>
      </c>
      <c r="AE19" s="40">
        <f t="shared" si="43"/>
        <v>346.41666666666669</v>
      </c>
      <c r="AF19" s="40">
        <f t="shared" si="43"/>
        <v>506.5</v>
      </c>
      <c r="AH19" s="40">
        <f t="shared" si="44"/>
        <v>3.0000000000029559E-2</v>
      </c>
      <c r="AI19" s="40">
        <f t="shared" si="44"/>
        <v>0</v>
      </c>
      <c r="AK19" s="130">
        <f t="shared" si="45"/>
        <v>20.79</v>
      </c>
      <c r="AL19" s="130">
        <f t="shared" si="45"/>
        <v>30.39</v>
      </c>
      <c r="AM19" s="40"/>
      <c r="AN19" s="40">
        <f t="shared" si="46"/>
        <v>138.54599999999996</v>
      </c>
      <c r="AO19" s="40">
        <f t="shared" si="47"/>
        <v>202.60000000000002</v>
      </c>
      <c r="AP19" s="40"/>
      <c r="AQ19" s="144">
        <f t="shared" si="48"/>
        <v>0.10000000000000002</v>
      </c>
      <c r="AR19" s="144">
        <f t="shared" si="48"/>
        <v>9.999999999999995E-2</v>
      </c>
      <c r="AS19" s="40"/>
      <c r="AT19" s="146">
        <f t="shared" si="49"/>
        <v>0.3999134049186005</v>
      </c>
      <c r="AU19" s="146">
        <f t="shared" si="49"/>
        <v>0.4</v>
      </c>
      <c r="AV19" s="40"/>
      <c r="AW19" s="76">
        <f t="shared" si="50"/>
        <v>0.5</v>
      </c>
      <c r="AX19" s="76">
        <f t="shared" si="50"/>
        <v>0.5</v>
      </c>
      <c r="AY19" s="42"/>
      <c r="AZ19" s="42">
        <f t="shared" si="51"/>
        <v>173.18999999999997</v>
      </c>
      <c r="BA19" s="42">
        <f t="shared" si="51"/>
        <v>253.25</v>
      </c>
      <c r="BB19" s="42"/>
      <c r="BC19" s="76">
        <f t="shared" si="52"/>
        <v>0.49991340491860053</v>
      </c>
      <c r="BD19" s="76">
        <f t="shared" si="52"/>
        <v>0.5</v>
      </c>
      <c r="BE19" s="42"/>
    </row>
    <row r="20" spans="1:57" x14ac:dyDescent="0.25">
      <c r="A20" t="s">
        <v>136</v>
      </c>
      <c r="D20" s="162">
        <f>ROUND('AMT Standard from 1 Apr25'!D20+'AMT Inc Cruise from 1 Apr25'!$B$57,2)</f>
        <v>187.88</v>
      </c>
      <c r="E20" s="162">
        <f>ROUND('AMT Standard from 1 Apr25'!E20+'AMT Inc Cruise from 1 Apr25'!$B$58,2)</f>
        <v>271.29000000000002</v>
      </c>
      <c r="F20" s="81"/>
      <c r="G20" s="153">
        <f t="shared" si="37"/>
        <v>225.45599999999999</v>
      </c>
      <c r="H20" s="153">
        <f t="shared" si="37"/>
        <v>325.548</v>
      </c>
      <c r="J20" s="155">
        <f t="shared" si="38"/>
        <v>37.575999999999993</v>
      </c>
      <c r="K20" s="155">
        <f t="shared" si="38"/>
        <v>54.257999999999981</v>
      </c>
      <c r="M20" s="134">
        <f t="shared" si="55"/>
        <v>248.00600000000003</v>
      </c>
      <c r="N20" s="134">
        <f t="shared" si="55"/>
        <v>358.10500000000002</v>
      </c>
      <c r="P20" s="134">
        <f t="shared" si="39"/>
        <v>60.126000000000033</v>
      </c>
      <c r="Q20" s="134">
        <f t="shared" si="39"/>
        <v>86.814999999999998</v>
      </c>
      <c r="S20" s="141">
        <f t="shared" si="40"/>
        <v>0.10001951600312257</v>
      </c>
      <c r="T20" s="141">
        <f t="shared" si="40"/>
        <v>0.10001597306695173</v>
      </c>
      <c r="V20" s="41">
        <f t="shared" si="41"/>
        <v>375.76</v>
      </c>
      <c r="W20" s="41">
        <f t="shared" si="41"/>
        <v>542.58000000000004</v>
      </c>
      <c r="Y20" s="41">
        <f t="shared" si="56"/>
        <v>450.91</v>
      </c>
      <c r="Z20" s="41">
        <f t="shared" si="56"/>
        <v>651.1</v>
      </c>
      <c r="AB20" s="182">
        <f t="shared" si="42"/>
        <v>450.9</v>
      </c>
      <c r="AC20" s="182">
        <f t="shared" si="42"/>
        <v>651</v>
      </c>
      <c r="AE20" s="40">
        <f t="shared" si="43"/>
        <v>375.75</v>
      </c>
      <c r="AF20" s="40">
        <f t="shared" si="43"/>
        <v>542.5</v>
      </c>
      <c r="AH20" s="40">
        <f t="shared" si="44"/>
        <v>1.0000000000047748E-2</v>
      </c>
      <c r="AI20" s="40">
        <f t="shared" si="44"/>
        <v>0.10000000000002274</v>
      </c>
      <c r="AK20" s="130">
        <f t="shared" si="45"/>
        <v>22.55</v>
      </c>
      <c r="AL20" s="130">
        <f t="shared" si="45"/>
        <v>32.56</v>
      </c>
      <c r="AM20" s="40"/>
      <c r="AN20" s="40">
        <f t="shared" si="46"/>
        <v>150.29399999999995</v>
      </c>
      <c r="AO20" s="40">
        <f t="shared" si="47"/>
        <v>216.93200000000002</v>
      </c>
      <c r="AP20" s="40"/>
      <c r="AQ20" s="144">
        <f t="shared" si="48"/>
        <v>9.9999999999999992E-2</v>
      </c>
      <c r="AR20" s="144">
        <f t="shared" si="48"/>
        <v>9.9999999999999964E-2</v>
      </c>
      <c r="AS20" s="40"/>
      <c r="AT20" s="146">
        <f t="shared" si="49"/>
        <v>0.39997338726846915</v>
      </c>
      <c r="AU20" s="146">
        <f t="shared" si="49"/>
        <v>0.39981569538132627</v>
      </c>
      <c r="AV20" s="40"/>
      <c r="AW20" s="76">
        <f t="shared" si="50"/>
        <v>0.5</v>
      </c>
      <c r="AX20" s="76">
        <f t="shared" si="50"/>
        <v>0.5</v>
      </c>
      <c r="AY20" s="42"/>
      <c r="AZ20" s="42">
        <f t="shared" si="51"/>
        <v>187.86999999999995</v>
      </c>
      <c r="BA20" s="42">
        <f t="shared" si="51"/>
        <v>271.19</v>
      </c>
      <c r="BB20" s="42"/>
      <c r="BC20" s="76">
        <f t="shared" si="52"/>
        <v>0.49997338726846913</v>
      </c>
      <c r="BD20" s="76">
        <f t="shared" si="52"/>
        <v>0.4998156953813262</v>
      </c>
      <c r="BE20" s="42"/>
    </row>
    <row r="21" spans="1:57" x14ac:dyDescent="0.25">
      <c r="C21" s="104"/>
      <c r="D21" s="104"/>
      <c r="H21" s="40"/>
      <c r="I21" s="75"/>
      <c r="J21" s="75"/>
      <c r="K21" s="75"/>
      <c r="L21" s="75"/>
      <c r="V21" s="40"/>
      <c r="X21" s="41"/>
      <c r="Y21" s="40"/>
      <c r="Z21" s="40"/>
      <c r="AK21" s="76"/>
      <c r="AL21" s="76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76"/>
      <c r="AX21" s="76"/>
      <c r="AY21" s="42"/>
      <c r="AZ21" s="42"/>
      <c r="BA21" s="42"/>
      <c r="BB21" s="42"/>
      <c r="BC21" s="76"/>
      <c r="BD21" s="76"/>
      <c r="BE21" s="40"/>
    </row>
    <row r="22" spans="1:57" x14ac:dyDescent="0.25">
      <c r="A22" s="4" t="s">
        <v>139</v>
      </c>
      <c r="X22" s="41"/>
      <c r="Y22" s="40"/>
      <c r="Z22" s="40"/>
      <c r="AK22" s="76"/>
      <c r="AL22" s="76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76"/>
      <c r="AX22" s="76"/>
      <c r="AY22" s="42"/>
      <c r="AZ22" s="42"/>
      <c r="BA22" s="42"/>
      <c r="BB22" s="42"/>
      <c r="BC22" s="76"/>
      <c r="BD22" s="76"/>
      <c r="BE22" s="40"/>
    </row>
    <row r="23" spans="1:57" x14ac:dyDescent="0.25">
      <c r="A23" s="53"/>
      <c r="X23" s="41"/>
      <c r="Y23" s="40"/>
      <c r="Z23" s="40"/>
      <c r="AK23" s="76"/>
      <c r="AL23" s="76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76"/>
      <c r="AX23" s="76"/>
      <c r="AY23" s="42"/>
      <c r="AZ23" s="42"/>
      <c r="BA23" s="42"/>
      <c r="BB23" s="42"/>
      <c r="BC23" s="76"/>
      <c r="BD23" s="76"/>
      <c r="BE23" s="40"/>
    </row>
    <row r="24" spans="1:57" x14ac:dyDescent="0.25">
      <c r="A24" s="100" t="s">
        <v>132</v>
      </c>
      <c r="B24" s="52" t="s">
        <v>140</v>
      </c>
      <c r="D24" s="55" t="s">
        <v>141</v>
      </c>
      <c r="E24" s="55"/>
      <c r="F24" s="55"/>
    </row>
    <row r="25" spans="1:57" x14ac:dyDescent="0.25">
      <c r="A25" s="100" t="s">
        <v>137</v>
      </c>
      <c r="B25" s="52" t="s">
        <v>140</v>
      </c>
      <c r="F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</row>
    <row r="26" spans="1:57" x14ac:dyDescent="0.25">
      <c r="A26" s="100" t="s">
        <v>142</v>
      </c>
      <c r="B26" s="52" t="s">
        <v>140</v>
      </c>
      <c r="F26" s="40"/>
      <c r="G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</row>
    <row r="27" spans="1:57" x14ac:dyDescent="0.25">
      <c r="F27" s="40"/>
      <c r="G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</row>
    <row r="28" spans="1:57" x14ac:dyDescent="0.25">
      <c r="A28" s="99" t="s">
        <v>143</v>
      </c>
      <c r="B28" s="52" t="s">
        <v>144</v>
      </c>
      <c r="F28" s="40"/>
      <c r="G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</row>
    <row r="29" spans="1:57" x14ac:dyDescent="0.25">
      <c r="G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</row>
    <row r="30" spans="1:57" ht="45" customHeight="1" x14ac:dyDescent="0.25">
      <c r="A30" s="159" t="s">
        <v>145</v>
      </c>
      <c r="B30" s="246" t="s">
        <v>146</v>
      </c>
      <c r="C30" s="246"/>
      <c r="D30" s="246"/>
      <c r="E30" s="246"/>
      <c r="F30" s="99"/>
      <c r="AA30" s="40"/>
      <c r="AB30" s="40"/>
      <c r="AC30" s="40"/>
      <c r="AD30" s="40"/>
      <c r="AE30" s="40"/>
      <c r="AF30" s="40"/>
      <c r="AG30" s="40"/>
      <c r="AH30" s="40"/>
      <c r="AI30" s="40"/>
      <c r="AJ30" s="40"/>
    </row>
    <row r="31" spans="1:57" ht="45" customHeight="1" x14ac:dyDescent="0.25">
      <c r="A31" s="159" t="s">
        <v>147</v>
      </c>
      <c r="B31" s="246" t="s">
        <v>148</v>
      </c>
      <c r="C31" s="246"/>
      <c r="D31" s="246"/>
      <c r="E31" s="246"/>
      <c r="F31" s="246"/>
      <c r="AA31" s="40"/>
      <c r="AB31" s="40"/>
      <c r="AC31" s="40"/>
      <c r="AD31" s="40"/>
      <c r="AE31" s="40"/>
      <c r="AF31" s="40"/>
      <c r="AG31" s="40"/>
      <c r="AH31" s="40"/>
      <c r="AI31" s="40"/>
      <c r="AJ31" s="40"/>
    </row>
    <row r="32" spans="1:57" x14ac:dyDescent="0.25"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</row>
    <row r="33" spans="1:57" x14ac:dyDescent="0.25">
      <c r="A33" s="100" t="s">
        <v>149</v>
      </c>
      <c r="B33" s="101" t="s">
        <v>150</v>
      </c>
      <c r="C33" s="52"/>
      <c r="AA33" s="40"/>
      <c r="AB33" s="40"/>
      <c r="AC33" s="40"/>
      <c r="AD33" s="40"/>
      <c r="AE33" s="40"/>
      <c r="AF33" s="40"/>
      <c r="AG33" s="40"/>
      <c r="AH33" s="40"/>
      <c r="AI33" s="40"/>
      <c r="AJ33" s="40"/>
    </row>
    <row r="34" spans="1:57" x14ac:dyDescent="0.25">
      <c r="A34" s="100" t="s">
        <v>151</v>
      </c>
      <c r="B34" s="101" t="s">
        <v>152</v>
      </c>
      <c r="C34" s="52"/>
    </row>
    <row r="35" spans="1:57" x14ac:dyDescent="0.25">
      <c r="A35" s="100" t="s">
        <v>153</v>
      </c>
      <c r="B35" s="101" t="s">
        <v>154</v>
      </c>
      <c r="C35" s="52"/>
    </row>
    <row r="36" spans="1:57" s="96" customFormat="1" ht="45" customHeight="1" x14ac:dyDescent="0.25">
      <c r="D36" s="244" t="s">
        <v>128</v>
      </c>
      <c r="E36" s="244"/>
      <c r="F36" s="95"/>
      <c r="G36" s="245" t="s">
        <v>3</v>
      </c>
      <c r="H36" s="245"/>
      <c r="I36" s="18"/>
      <c r="J36" s="245" t="s">
        <v>4</v>
      </c>
      <c r="K36" s="245"/>
      <c r="L36" s="18"/>
      <c r="M36" s="219" t="s">
        <v>5</v>
      </c>
      <c r="N36" s="219"/>
      <c r="O36" s="18"/>
      <c r="P36" s="219" t="s">
        <v>6</v>
      </c>
      <c r="Q36" s="219"/>
      <c r="R36" s="18"/>
      <c r="S36" s="219" t="s">
        <v>7</v>
      </c>
      <c r="T36" s="219"/>
      <c r="U36" s="18"/>
      <c r="V36" s="214" t="s">
        <v>8</v>
      </c>
      <c r="W36" s="214"/>
      <c r="X36" s="52"/>
      <c r="Y36" s="211" t="s">
        <v>9</v>
      </c>
      <c r="Z36" s="211"/>
      <c r="AA36" s="1"/>
      <c r="AB36" s="215" t="s">
        <v>10</v>
      </c>
      <c r="AC36" s="215"/>
      <c r="AD36" s="1"/>
      <c r="AE36" s="211" t="s">
        <v>11</v>
      </c>
      <c r="AF36" s="211"/>
      <c r="AG36" s="1"/>
      <c r="AH36" s="211" t="s">
        <v>12</v>
      </c>
      <c r="AI36" s="211"/>
      <c r="AJ36" s="1"/>
      <c r="AK36" s="211" t="s">
        <v>13</v>
      </c>
      <c r="AL36" s="211"/>
      <c r="AM36" s="1"/>
      <c r="AN36" s="211" t="s">
        <v>14</v>
      </c>
      <c r="AO36" s="211"/>
      <c r="AP36" s="1"/>
      <c r="AQ36" s="212" t="s">
        <v>15</v>
      </c>
      <c r="AR36" s="212"/>
      <c r="AS36" s="1"/>
      <c r="AT36" s="211" t="s">
        <v>16</v>
      </c>
      <c r="AU36" s="211"/>
      <c r="AV36" s="1"/>
      <c r="AW36" s="213" t="s">
        <v>17</v>
      </c>
      <c r="AX36" s="213"/>
      <c r="AY36" s="1"/>
      <c r="AZ36" s="213" t="s">
        <v>18</v>
      </c>
      <c r="BA36" s="213"/>
      <c r="BB36" s="1"/>
      <c r="BC36" s="213" t="s">
        <v>129</v>
      </c>
      <c r="BD36" s="213"/>
      <c r="BE36" s="1"/>
    </row>
    <row r="37" spans="1:57" s="96" customFormat="1" ht="108.6" customHeight="1" x14ac:dyDescent="0.25">
      <c r="D37" s="195" t="s">
        <v>130</v>
      </c>
      <c r="E37" s="147" t="s">
        <v>131</v>
      </c>
      <c r="F37" s="35"/>
      <c r="G37" s="151" t="s">
        <v>130</v>
      </c>
      <c r="H37" s="152" t="s">
        <v>131</v>
      </c>
      <c r="I37" s="52"/>
      <c r="J37" s="151" t="s">
        <v>130</v>
      </c>
      <c r="K37" s="152" t="s">
        <v>131</v>
      </c>
      <c r="L37" s="52"/>
      <c r="M37" s="132" t="s">
        <v>130</v>
      </c>
      <c r="N37" s="133" t="s">
        <v>131</v>
      </c>
      <c r="O37" s="52"/>
      <c r="P37" s="132" t="s">
        <v>130</v>
      </c>
      <c r="Q37" s="133" t="s">
        <v>131</v>
      </c>
      <c r="R37" s="52"/>
      <c r="S37" s="132" t="s">
        <v>130</v>
      </c>
      <c r="T37" s="133" t="s">
        <v>131</v>
      </c>
      <c r="U37" s="52"/>
      <c r="V37" s="96" t="s">
        <v>130</v>
      </c>
      <c r="W37" s="95" t="s">
        <v>131</v>
      </c>
      <c r="X37" s="52"/>
      <c r="Y37" s="96" t="s">
        <v>130</v>
      </c>
      <c r="Z37" s="95" t="s">
        <v>131</v>
      </c>
      <c r="AA37" s="52"/>
      <c r="AB37" s="96" t="s">
        <v>130</v>
      </c>
      <c r="AC37" s="95" t="s">
        <v>131</v>
      </c>
      <c r="AD37" s="52"/>
      <c r="AE37" s="96" t="s">
        <v>130</v>
      </c>
      <c r="AF37" s="95" t="s">
        <v>131</v>
      </c>
      <c r="AG37" s="34"/>
      <c r="AH37" s="96" t="s">
        <v>130</v>
      </c>
      <c r="AI37" s="95" t="s">
        <v>131</v>
      </c>
      <c r="AJ37" s="52"/>
      <c r="AK37" s="128" t="s">
        <v>130</v>
      </c>
      <c r="AL37" s="129" t="s">
        <v>131</v>
      </c>
      <c r="AM37" s="52"/>
      <c r="AN37" s="96" t="s">
        <v>130</v>
      </c>
      <c r="AO37" s="95" t="s">
        <v>131</v>
      </c>
      <c r="AP37" s="52"/>
      <c r="AQ37" s="196" t="s">
        <v>130</v>
      </c>
      <c r="AR37" s="142" t="s">
        <v>131</v>
      </c>
      <c r="AS37" s="52"/>
      <c r="AT37" s="197" t="s">
        <v>130</v>
      </c>
      <c r="AU37" s="129" t="s">
        <v>131</v>
      </c>
      <c r="AV37" s="52"/>
      <c r="AW37" s="96" t="s">
        <v>130</v>
      </c>
      <c r="AX37" s="95" t="s">
        <v>131</v>
      </c>
      <c r="AY37" s="52"/>
      <c r="AZ37" s="96" t="s">
        <v>130</v>
      </c>
      <c r="BA37" s="95" t="s">
        <v>131</v>
      </c>
      <c r="BB37" s="52"/>
      <c r="BC37" s="139" t="s">
        <v>130</v>
      </c>
      <c r="BD37" s="95" t="s">
        <v>131</v>
      </c>
      <c r="BE37" s="1"/>
    </row>
    <row r="38" spans="1:57" ht="47.45" customHeight="1" x14ac:dyDescent="0.25">
      <c r="B38" s="45"/>
      <c r="D38" s="149"/>
      <c r="E38" s="149"/>
      <c r="F38" s="81"/>
      <c r="G38" s="153"/>
      <c r="H38" s="153"/>
      <c r="J38" s="155"/>
      <c r="K38" s="155"/>
      <c r="L38" s="41"/>
      <c r="M38" s="161"/>
      <c r="N38" s="161"/>
      <c r="P38" s="134"/>
      <c r="Q38" s="134"/>
      <c r="S38" s="141"/>
      <c r="T38" s="141"/>
      <c r="V38" s="41"/>
      <c r="W38" s="41"/>
      <c r="Y38" s="41"/>
      <c r="Z38" s="41"/>
      <c r="AB38" s="182"/>
      <c r="AC38" s="182"/>
      <c r="AE38" s="40"/>
      <c r="AF38" s="40"/>
      <c r="AH38" s="40"/>
      <c r="AI38" s="40"/>
      <c r="AK38" s="130"/>
      <c r="AL38" s="130"/>
      <c r="AM38" s="40"/>
      <c r="AN38" s="40"/>
      <c r="AO38" s="40"/>
      <c r="AP38" s="40"/>
      <c r="AQ38" s="144"/>
      <c r="AR38" s="144"/>
      <c r="AS38" s="40"/>
      <c r="AT38" s="146"/>
      <c r="AU38" s="146"/>
      <c r="AV38" s="40"/>
      <c r="AW38" s="76"/>
      <c r="AX38" s="76"/>
      <c r="AY38" s="42"/>
      <c r="AZ38" s="42"/>
      <c r="BA38" s="42"/>
      <c r="BB38" s="42"/>
      <c r="BC38" s="76"/>
      <c r="BD38" s="76"/>
      <c r="BE38" s="42"/>
    </row>
    <row r="39" spans="1:57" ht="39.950000000000003" customHeight="1" x14ac:dyDescent="0.25">
      <c r="A39" s="247" t="s">
        <v>63</v>
      </c>
      <c r="B39" s="247"/>
      <c r="C39" s="247"/>
      <c r="D39" s="162">
        <v>15</v>
      </c>
      <c r="E39" s="162">
        <v>15</v>
      </c>
      <c r="F39" s="81"/>
      <c r="G39" s="153">
        <f>D39*SUM(1+$G$1/$Y$1)</f>
        <v>18</v>
      </c>
      <c r="H39" s="153">
        <f>E39*SUM(1+$G$1/$Y$1)</f>
        <v>18</v>
      </c>
      <c r="J39" s="155">
        <f t="shared" ref="J39:K39" si="57">G39-D39</f>
        <v>3</v>
      </c>
      <c r="K39" s="155">
        <f t="shared" si="57"/>
        <v>3</v>
      </c>
      <c r="L39" s="41"/>
      <c r="M39" s="161">
        <f t="shared" ref="M39:N39" si="58">ROUND(D39*(1+$G$1*2),2)*SUM(1+$M$1)</f>
        <v>19.8</v>
      </c>
      <c r="N39" s="161">
        <f t="shared" si="58"/>
        <v>19.8</v>
      </c>
      <c r="P39" s="134">
        <f t="shared" ref="P39:Q39" si="59">M39-D39</f>
        <v>4.8000000000000007</v>
      </c>
      <c r="Q39" s="134">
        <f t="shared" si="59"/>
        <v>4.8000000000000007</v>
      </c>
      <c r="S39" s="141">
        <f>AK39/G39</f>
        <v>0.1</v>
      </c>
      <c r="T39" s="141">
        <f>AL39/H39</f>
        <v>0.1</v>
      </c>
      <c r="V39" s="41">
        <f>SUM(D39/(1-$Y$1))</f>
        <v>30</v>
      </c>
      <c r="W39" s="41">
        <f>SUM(E39/(1-$Y$1))</f>
        <v>30</v>
      </c>
      <c r="Y39" s="41">
        <f t="shared" ref="Y39:Z39" si="60">ROUND(D39/(1-$Y$1)*1.2,2)</f>
        <v>36</v>
      </c>
      <c r="Z39" s="41">
        <f t="shared" si="60"/>
        <v>36</v>
      </c>
      <c r="AB39" s="182">
        <f t="shared" ref="AB39:AC39" si="61">ROUNDDOWN(D39/(1-$Y$1)*1.2,1)</f>
        <v>36</v>
      </c>
      <c r="AC39" s="182">
        <f t="shared" si="61"/>
        <v>36</v>
      </c>
      <c r="AE39" s="40">
        <f t="shared" ref="AE39:AF39" si="62">AB39/1.2</f>
        <v>30</v>
      </c>
      <c r="AF39" s="40">
        <f t="shared" si="62"/>
        <v>30</v>
      </c>
      <c r="AH39" s="40">
        <f t="shared" ref="AH39:AI39" si="63">Y39-AB39</f>
        <v>0</v>
      </c>
      <c r="AI39" s="40">
        <f t="shared" si="63"/>
        <v>0</v>
      </c>
      <c r="AK39" s="130">
        <f t="shared" ref="AK39" si="64">ROUND(M39*(1-(1/(1+$AL$1))),2)</f>
        <v>1.8</v>
      </c>
      <c r="AL39" s="130">
        <f>ROUND(N39*(1-(1/(1+$AL$1))),2)</f>
        <v>1.8</v>
      </c>
      <c r="AM39" s="40"/>
      <c r="AN39" s="40">
        <f t="shared" ref="AN39" si="65">SUM(V39-G39)-AH39</f>
        <v>12</v>
      </c>
      <c r="AO39" s="40">
        <f t="shared" ref="AO39" si="66">SUM(W39-H39)-AI39</f>
        <v>12</v>
      </c>
      <c r="AP39" s="40"/>
      <c r="AQ39" s="144">
        <f>(SUM(G39-D39)/D39*$Y$1)</f>
        <v>0.1</v>
      </c>
      <c r="AR39" s="144">
        <f>(SUM(H39-E39)/E39*$Y$1)</f>
        <v>0.1</v>
      </c>
      <c r="AS39" s="40"/>
      <c r="AT39" s="146">
        <f>AN39/V39</f>
        <v>0.4</v>
      </c>
      <c r="AU39" s="146">
        <f>AO39/W39</f>
        <v>0.4</v>
      </c>
      <c r="AV39" s="40"/>
      <c r="AW39" s="76">
        <f>D39/V39</f>
        <v>0.5</v>
      </c>
      <c r="AX39" s="76">
        <f>E39/W39</f>
        <v>0.5</v>
      </c>
      <c r="AY39" s="42"/>
      <c r="AZ39" s="42">
        <f>J39+AN39</f>
        <v>15</v>
      </c>
      <c r="BA39" s="42">
        <f>K39+AO39</f>
        <v>15</v>
      </c>
      <c r="BB39" s="42"/>
      <c r="BC39" s="76">
        <f>AZ39/(D39/$Y$1)</f>
        <v>0.5</v>
      </c>
      <c r="BD39" s="76">
        <f>BA39/(E39/$Y$1)</f>
        <v>0.5</v>
      </c>
      <c r="BE39" s="42"/>
    </row>
    <row r="40" spans="1:57" x14ac:dyDescent="0.25">
      <c r="A40" s="52"/>
      <c r="B40" s="52"/>
      <c r="C40" s="98"/>
      <c r="D40" s="52"/>
      <c r="E40" s="52"/>
      <c r="F40" s="40"/>
    </row>
    <row r="41" spans="1:57" x14ac:dyDescent="0.25">
      <c r="A41" s="45" t="s">
        <v>64</v>
      </c>
      <c r="B41" s="45" t="s">
        <v>65</v>
      </c>
      <c r="C41" s="45" t="s">
        <v>66</v>
      </c>
    </row>
    <row r="42" spans="1:57" s="122" customFormat="1" ht="30" customHeight="1" x14ac:dyDescent="0.25">
      <c r="A42" s="120"/>
      <c r="B42" s="121" t="s">
        <v>67</v>
      </c>
      <c r="C42" s="248" t="s">
        <v>68</v>
      </c>
      <c r="D42" s="248"/>
      <c r="E42" s="248"/>
      <c r="F42" s="248"/>
      <c r="G42" s="248"/>
      <c r="H42" s="248"/>
      <c r="I42" s="248"/>
      <c r="J42" s="248"/>
      <c r="K42" s="248"/>
      <c r="L42" s="248"/>
      <c r="M42" s="248"/>
    </row>
    <row r="43" spans="1:57" s="122" customFormat="1" ht="30" customHeight="1" x14ac:dyDescent="0.25">
      <c r="A43" s="120"/>
      <c r="B43" s="121"/>
      <c r="C43" s="248"/>
      <c r="D43" s="248"/>
      <c r="E43" s="248"/>
      <c r="F43" s="248"/>
      <c r="G43" s="248"/>
      <c r="H43" s="248"/>
      <c r="I43" s="248"/>
      <c r="J43" s="248"/>
      <c r="K43" s="248"/>
      <c r="L43" s="248"/>
      <c r="M43" s="248"/>
    </row>
    <row r="44" spans="1:57" x14ac:dyDescent="0.25">
      <c r="B44" s="45" t="s">
        <v>69</v>
      </c>
      <c r="C44" s="45" t="s">
        <v>70</v>
      </c>
      <c r="G44" s="40"/>
    </row>
    <row r="45" spans="1:57" x14ac:dyDescent="0.25">
      <c r="B45" s="45" t="s">
        <v>71</v>
      </c>
      <c r="C45" s="45" t="s">
        <v>72</v>
      </c>
      <c r="G45" s="40"/>
    </row>
    <row r="46" spans="1:57" x14ac:dyDescent="0.25">
      <c r="A46" s="52"/>
      <c r="B46" s="52"/>
      <c r="C46" s="98"/>
      <c r="D46" s="52"/>
      <c r="E46" s="52"/>
      <c r="F46" s="40"/>
    </row>
    <row r="47" spans="1:57" x14ac:dyDescent="0.25">
      <c r="A47" s="46" t="s">
        <v>73</v>
      </c>
      <c r="B47" s="1" t="s">
        <v>74</v>
      </c>
      <c r="C47" s="46" t="s">
        <v>75</v>
      </c>
      <c r="D47" s="25"/>
      <c r="F47" s="47"/>
    </row>
    <row r="48" spans="1:57" x14ac:dyDescent="0.25">
      <c r="A48" s="25"/>
      <c r="B48" s="1" t="s">
        <v>76</v>
      </c>
      <c r="C48" s="47" t="s">
        <v>77</v>
      </c>
      <c r="D48" s="25"/>
      <c r="F48" s="47"/>
    </row>
    <row r="49" spans="1:12" x14ac:dyDescent="0.25">
      <c r="A49" s="25"/>
      <c r="B49" s="1" t="s">
        <v>78</v>
      </c>
      <c r="C49" s="47" t="s">
        <v>79</v>
      </c>
      <c r="D49" s="25"/>
      <c r="F49" s="47"/>
    </row>
    <row r="50" spans="1:12" x14ac:dyDescent="0.25">
      <c r="A50" s="25"/>
      <c r="B50" s="1" t="s">
        <v>80</v>
      </c>
      <c r="C50" s="47" t="s">
        <v>81</v>
      </c>
      <c r="D50" s="25"/>
      <c r="F50" s="47"/>
    </row>
    <row r="51" spans="1:12" x14ac:dyDescent="0.25">
      <c r="F51" s="52"/>
      <c r="G51" s="52"/>
      <c r="H51" s="52"/>
      <c r="I51" s="52"/>
      <c r="J51" s="52"/>
      <c r="K51" s="52"/>
      <c r="L51" s="52"/>
    </row>
    <row r="52" spans="1:12" x14ac:dyDescent="0.25">
      <c r="A52" s="1" t="s">
        <v>82</v>
      </c>
      <c r="C52" s="1" t="s">
        <v>83</v>
      </c>
      <c r="F52" s="99"/>
      <c r="G52" s="99"/>
      <c r="H52" s="99"/>
      <c r="I52" s="99"/>
      <c r="J52" s="99"/>
      <c r="K52" s="99"/>
      <c r="L52" s="99"/>
    </row>
    <row r="53" spans="1:12" x14ac:dyDescent="0.25">
      <c r="A53" s="99"/>
      <c r="F53" s="99"/>
      <c r="G53" s="99"/>
      <c r="H53" s="99"/>
      <c r="I53" s="99"/>
      <c r="J53" s="99"/>
      <c r="K53" s="99"/>
      <c r="L53" s="99"/>
    </row>
    <row r="54" spans="1:12" x14ac:dyDescent="0.25">
      <c r="A54" s="52" t="s">
        <v>84</v>
      </c>
      <c r="B54" s="52"/>
      <c r="C54" s="52"/>
      <c r="D54" s="52"/>
      <c r="E54" s="52"/>
      <c r="F54" s="99"/>
      <c r="G54" s="99"/>
      <c r="H54" s="99"/>
      <c r="I54" s="99"/>
      <c r="J54" s="99"/>
      <c r="K54" s="99"/>
      <c r="L54" s="99"/>
    </row>
    <row r="57" spans="1:12" x14ac:dyDescent="0.25">
      <c r="A57" s="166" t="s">
        <v>85</v>
      </c>
      <c r="B57" s="191">
        <v>1.8</v>
      </c>
      <c r="C57" s="192" t="s">
        <v>156</v>
      </c>
    </row>
    <row r="58" spans="1:12" x14ac:dyDescent="0.25">
      <c r="A58" s="166"/>
      <c r="B58" s="191">
        <v>3.6</v>
      </c>
      <c r="C58" s="192" t="s">
        <v>157</v>
      </c>
    </row>
  </sheetData>
  <mergeCells count="40">
    <mergeCell ref="D2:E2"/>
    <mergeCell ref="G2:H2"/>
    <mergeCell ref="J2:K2"/>
    <mergeCell ref="M2:N2"/>
    <mergeCell ref="P2:Q2"/>
    <mergeCell ref="AZ2:BA2"/>
    <mergeCell ref="BC2:BD2"/>
    <mergeCell ref="V2:W2"/>
    <mergeCell ref="Y2:Z2"/>
    <mergeCell ref="AB2:AC2"/>
    <mergeCell ref="AE2:AF2"/>
    <mergeCell ref="AH2:AI2"/>
    <mergeCell ref="AK2:AL2"/>
    <mergeCell ref="M36:N36"/>
    <mergeCell ref="AN2:AO2"/>
    <mergeCell ref="AQ2:AR2"/>
    <mergeCell ref="AT2:AU2"/>
    <mergeCell ref="AW2:AX2"/>
    <mergeCell ref="S2:T2"/>
    <mergeCell ref="B30:E30"/>
    <mergeCell ref="B31:F31"/>
    <mergeCell ref="D36:E36"/>
    <mergeCell ref="G36:H36"/>
    <mergeCell ref="J36:K36"/>
    <mergeCell ref="AZ36:BA36"/>
    <mergeCell ref="BC36:BD36"/>
    <mergeCell ref="A39:C39"/>
    <mergeCell ref="C42:M43"/>
    <mergeCell ref="AH36:AI36"/>
    <mergeCell ref="AK36:AL36"/>
    <mergeCell ref="AN36:AO36"/>
    <mergeCell ref="AQ36:AR36"/>
    <mergeCell ref="AT36:AU36"/>
    <mergeCell ref="AW36:AX36"/>
    <mergeCell ref="P36:Q36"/>
    <mergeCell ref="S36:T36"/>
    <mergeCell ref="V36:W36"/>
    <mergeCell ref="Y36:Z36"/>
    <mergeCell ref="AB36:AC36"/>
    <mergeCell ref="AE36:AF36"/>
  </mergeCells>
  <pageMargins left="0.7" right="0.7" top="0.75" bottom="0.75" header="0.3" footer="0.3"/>
  <pageSetup paperSize="9" orientation="portrait" horizontalDpi="4294967295" verticalDpi="4294967295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A2E5D-05AF-4930-AA87-AC0881AB3524}">
  <sheetPr>
    <tabColor theme="0" tint="-0.14999847407452621"/>
  </sheetPr>
  <dimension ref="A1:BE54"/>
  <sheetViews>
    <sheetView zoomScale="85" zoomScaleNormal="8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B5" sqref="AB5:AC20"/>
    </sheetView>
  </sheetViews>
  <sheetFormatPr defaultColWidth="8.85546875" defaultRowHeight="15" x14ac:dyDescent="0.25"/>
  <cols>
    <col min="1" max="1" width="29.7109375" style="1" customWidth="1"/>
    <col min="2" max="2" width="8.85546875" style="1" customWidth="1"/>
    <col min="3" max="3" width="32.140625" style="1" customWidth="1"/>
    <col min="4" max="5" width="10" style="1" customWidth="1"/>
    <col min="6" max="6" width="3.7109375" style="1" customWidth="1"/>
    <col min="7" max="8" width="9.7109375" style="1" customWidth="1"/>
    <col min="9" max="9" width="3.7109375" style="1" customWidth="1"/>
    <col min="10" max="11" width="9.7109375" style="1" customWidth="1"/>
    <col min="12" max="12" width="3.7109375" style="1" customWidth="1"/>
    <col min="13" max="13" width="13" style="1" customWidth="1"/>
    <col min="14" max="14" width="11.85546875" style="1" bestFit="1" customWidth="1"/>
    <col min="15" max="15" width="3.7109375" style="1" customWidth="1"/>
    <col min="16" max="17" width="9.7109375" style="1" customWidth="1"/>
    <col min="18" max="18" width="3.7109375" style="1" customWidth="1"/>
    <col min="19" max="20" width="9.7109375" style="1" customWidth="1"/>
    <col min="21" max="21" width="5.140625" style="1" customWidth="1"/>
    <col min="22" max="22" width="12.42578125" style="1" customWidth="1"/>
    <col min="23" max="23" width="11.85546875" style="1" customWidth="1"/>
    <col min="24" max="24" width="6.140625" style="1" customWidth="1"/>
    <col min="25" max="25" width="12.42578125" style="1" customWidth="1"/>
    <col min="26" max="26" width="11.85546875" style="1" customWidth="1"/>
    <col min="27" max="27" width="3.7109375" style="1" customWidth="1"/>
    <col min="28" max="29" width="9.7109375" style="1" customWidth="1"/>
    <col min="30" max="30" width="3.7109375" style="1" customWidth="1"/>
    <col min="31" max="32" width="9.7109375" style="1" customWidth="1"/>
    <col min="33" max="33" width="3.7109375" style="1" customWidth="1"/>
    <col min="34" max="35" width="9.7109375" style="1" customWidth="1"/>
    <col min="36" max="36" width="3.7109375" style="1" customWidth="1"/>
    <col min="37" max="38" width="9.7109375" style="1" customWidth="1"/>
    <col min="39" max="39" width="3.7109375" style="1" customWidth="1"/>
    <col min="40" max="41" width="9.7109375" style="1" customWidth="1"/>
    <col min="42" max="42" width="3.7109375" style="1" customWidth="1"/>
    <col min="43" max="44" width="9.7109375" style="1" customWidth="1"/>
    <col min="45" max="45" width="3.7109375" style="1" customWidth="1"/>
    <col min="46" max="47" width="9.7109375" style="1" customWidth="1"/>
    <col min="48" max="48" width="3.7109375" style="1" customWidth="1"/>
    <col min="49" max="50" width="9.7109375" style="1" customWidth="1"/>
    <col min="51" max="51" width="3.7109375" style="1" customWidth="1"/>
    <col min="52" max="53" width="9.7109375" style="1" customWidth="1"/>
    <col min="54" max="54" width="3.7109375" style="1" customWidth="1"/>
    <col min="55" max="55" width="11.85546875" style="1" customWidth="1"/>
    <col min="56" max="56" width="10.42578125" style="1" customWidth="1"/>
    <col min="57" max="57" width="8.140625" style="1" customWidth="1"/>
    <col min="58" max="16384" width="8.85546875" style="1"/>
  </cols>
  <sheetData>
    <row r="1" spans="1:57" ht="15" customHeight="1" thickBot="1" x14ac:dyDescent="0.3">
      <c r="A1" s="201" t="s">
        <v>198</v>
      </c>
      <c r="B1" s="202"/>
      <c r="C1" s="171" t="s">
        <v>0</v>
      </c>
      <c r="D1" s="163">
        <v>0.09</v>
      </c>
      <c r="E1" s="163">
        <v>0.17499999999999999</v>
      </c>
      <c r="F1" s="18"/>
      <c r="G1" s="194">
        <v>0.1</v>
      </c>
      <c r="H1" s="170" t="s">
        <v>1</v>
      </c>
      <c r="I1" s="18"/>
      <c r="J1" s="18"/>
      <c r="K1" s="18"/>
      <c r="L1" s="18"/>
      <c r="M1" s="92">
        <v>0.1</v>
      </c>
      <c r="N1" s="18"/>
      <c r="O1" s="18"/>
      <c r="P1" s="18"/>
      <c r="Q1" s="18"/>
      <c r="R1" s="18"/>
      <c r="S1" s="18"/>
      <c r="T1" s="18"/>
      <c r="U1" s="18"/>
      <c r="V1" s="92"/>
      <c r="W1" s="18"/>
      <c r="X1" s="92"/>
      <c r="Y1" s="91">
        <v>0.5</v>
      </c>
      <c r="Z1" s="18"/>
      <c r="AL1" s="83">
        <v>0.1</v>
      </c>
    </row>
    <row r="2" spans="1:57" ht="48" customHeight="1" x14ac:dyDescent="0.25">
      <c r="A2" s="97"/>
      <c r="D2" s="244" t="s">
        <v>128</v>
      </c>
      <c r="E2" s="244"/>
      <c r="F2" s="95"/>
      <c r="G2" s="245" t="s">
        <v>3</v>
      </c>
      <c r="H2" s="245"/>
      <c r="I2" s="18"/>
      <c r="J2" s="245" t="s">
        <v>4</v>
      </c>
      <c r="K2" s="245"/>
      <c r="L2" s="18"/>
      <c r="M2" s="219" t="s">
        <v>5</v>
      </c>
      <c r="N2" s="219"/>
      <c r="O2" s="18"/>
      <c r="P2" s="219" t="s">
        <v>6</v>
      </c>
      <c r="Q2" s="219"/>
      <c r="R2" s="18"/>
      <c r="S2" s="219" t="s">
        <v>7</v>
      </c>
      <c r="T2" s="219"/>
      <c r="U2" s="18"/>
      <c r="V2" s="214" t="s">
        <v>8</v>
      </c>
      <c r="W2" s="214"/>
      <c r="X2" s="52"/>
      <c r="Y2" s="211" t="s">
        <v>9</v>
      </c>
      <c r="Z2" s="211"/>
      <c r="AB2" s="215" t="s">
        <v>10</v>
      </c>
      <c r="AC2" s="215"/>
      <c r="AE2" s="211" t="s">
        <v>11</v>
      </c>
      <c r="AF2" s="211"/>
      <c r="AH2" s="211" t="s">
        <v>12</v>
      </c>
      <c r="AI2" s="211"/>
      <c r="AK2" s="211" t="s">
        <v>13</v>
      </c>
      <c r="AL2" s="211"/>
      <c r="AN2" s="211" t="s">
        <v>14</v>
      </c>
      <c r="AO2" s="211"/>
      <c r="AQ2" s="212" t="s">
        <v>15</v>
      </c>
      <c r="AR2" s="212"/>
      <c r="AT2" s="211" t="s">
        <v>16</v>
      </c>
      <c r="AU2" s="211"/>
      <c r="AW2" s="213" t="s">
        <v>17</v>
      </c>
      <c r="AX2" s="213"/>
      <c r="AZ2" s="213" t="s">
        <v>18</v>
      </c>
      <c r="BA2" s="213"/>
      <c r="BC2" s="213" t="s">
        <v>129</v>
      </c>
      <c r="BD2" s="213"/>
    </row>
    <row r="3" spans="1:57" s="52" customFormat="1" ht="60" customHeight="1" thickBot="1" x14ac:dyDescent="0.3">
      <c r="A3" s="97"/>
      <c r="B3" s="251" t="s">
        <v>213</v>
      </c>
      <c r="D3" s="195" t="s">
        <v>130</v>
      </c>
      <c r="E3" s="147" t="s">
        <v>131</v>
      </c>
      <c r="F3" s="35"/>
      <c r="G3" s="151" t="s">
        <v>130</v>
      </c>
      <c r="H3" s="152" t="s">
        <v>131</v>
      </c>
      <c r="J3" s="151" t="s">
        <v>130</v>
      </c>
      <c r="K3" s="152" t="s">
        <v>131</v>
      </c>
      <c r="M3" s="132" t="s">
        <v>130</v>
      </c>
      <c r="N3" s="133" t="s">
        <v>131</v>
      </c>
      <c r="P3" s="132" t="s">
        <v>130</v>
      </c>
      <c r="Q3" s="133" t="s">
        <v>131</v>
      </c>
      <c r="S3" s="132" t="s">
        <v>130</v>
      </c>
      <c r="T3" s="133" t="s">
        <v>131</v>
      </c>
      <c r="V3" s="96" t="s">
        <v>130</v>
      </c>
      <c r="W3" s="95" t="s">
        <v>131</v>
      </c>
      <c r="Y3" s="96" t="s">
        <v>130</v>
      </c>
      <c r="Z3" s="95" t="s">
        <v>131</v>
      </c>
      <c r="AB3" s="96" t="s">
        <v>130</v>
      </c>
      <c r="AC3" s="95" t="s">
        <v>131</v>
      </c>
      <c r="AE3" s="96" t="s">
        <v>130</v>
      </c>
      <c r="AF3" s="95" t="s">
        <v>131</v>
      </c>
      <c r="AG3" s="34"/>
      <c r="AH3" s="96" t="s">
        <v>130</v>
      </c>
      <c r="AI3" s="95" t="s">
        <v>131</v>
      </c>
      <c r="AK3" s="128" t="s">
        <v>130</v>
      </c>
      <c r="AL3" s="129" t="s">
        <v>131</v>
      </c>
      <c r="AN3" s="96" t="s">
        <v>130</v>
      </c>
      <c r="AO3" s="95" t="s">
        <v>131</v>
      </c>
      <c r="AQ3" s="196" t="s">
        <v>130</v>
      </c>
      <c r="AR3" s="142" t="s">
        <v>131</v>
      </c>
      <c r="AT3" s="197" t="s">
        <v>130</v>
      </c>
      <c r="AU3" s="129" t="s">
        <v>131</v>
      </c>
      <c r="AW3" s="96" t="s">
        <v>130</v>
      </c>
      <c r="AX3" s="95" t="s">
        <v>131</v>
      </c>
      <c r="AZ3" s="96" t="s">
        <v>130</v>
      </c>
      <c r="BA3" s="95" t="s">
        <v>131</v>
      </c>
      <c r="BC3" s="139" t="s">
        <v>130</v>
      </c>
      <c r="BD3" s="95" t="s">
        <v>131</v>
      </c>
    </row>
    <row r="4" spans="1:57" ht="15.75" thickBot="1" x14ac:dyDescent="0.3">
      <c r="A4" s="167" t="s">
        <v>132</v>
      </c>
      <c r="B4" s="163">
        <v>0.1</v>
      </c>
      <c r="D4" s="137"/>
      <c r="E4" s="148"/>
      <c r="F4" s="39"/>
      <c r="G4" s="138"/>
      <c r="H4" s="138"/>
      <c r="J4" s="154"/>
      <c r="K4" s="154"/>
      <c r="M4" s="123"/>
      <c r="N4" s="123"/>
      <c r="P4" s="123"/>
      <c r="Q4" s="123"/>
      <c r="S4" s="140"/>
      <c r="T4" s="140"/>
      <c r="V4" s="75"/>
      <c r="AK4" s="131"/>
      <c r="AL4" s="131"/>
      <c r="AQ4" s="143"/>
      <c r="AR4" s="143"/>
      <c r="AT4" s="131"/>
      <c r="AU4" s="131"/>
    </row>
    <row r="5" spans="1:57" x14ac:dyDescent="0.25">
      <c r="A5" t="s">
        <v>133</v>
      </c>
      <c r="D5" s="162">
        <f>ROUND('AMT Silver Standard re 24Feb26'!D5*(1+$B$4)*(1+D$1),2)</f>
        <v>39.85</v>
      </c>
      <c r="E5" s="162">
        <f>ROUND('AMT Silver Standard re 24Feb26'!E5*(1+$B$4)*(1+E$1),2)</f>
        <v>76.92</v>
      </c>
      <c r="F5" s="81"/>
      <c r="G5" s="153">
        <f t="shared" ref="G5:H8" si="0">D5*SUM(1+$G$1/$Y$1)</f>
        <v>47.82</v>
      </c>
      <c r="H5" s="153">
        <f t="shared" si="0"/>
        <v>92.304000000000002</v>
      </c>
      <c r="I5" s="83"/>
      <c r="J5" s="155">
        <f>G5-D5</f>
        <v>7.9699999999999989</v>
      </c>
      <c r="K5" s="155">
        <f>H5-E5</f>
        <v>15.384</v>
      </c>
      <c r="L5" s="83"/>
      <c r="M5" s="134">
        <f>ROUND(D5*(1+$G$1*2),2)*SUM(1+$M$1)</f>
        <v>52.602000000000004</v>
      </c>
      <c r="N5" s="134">
        <f>ROUND(E5*(1+$G$1*2),2)*SUM(1+$M$1)</f>
        <v>101.53</v>
      </c>
      <c r="P5" s="134">
        <f>M5-D5</f>
        <v>12.752000000000002</v>
      </c>
      <c r="Q5" s="134">
        <f>N5-E5</f>
        <v>24.61</v>
      </c>
      <c r="S5" s="141">
        <f t="shared" ref="S5:T8" si="1">AK5/G5</f>
        <v>9.9958176495190301E-2</v>
      </c>
      <c r="T5" s="141">
        <f t="shared" si="1"/>
        <v>9.9995666493326404E-2</v>
      </c>
      <c r="V5" s="41">
        <f t="shared" ref="V5:W8" si="2">SUM(D5/(1-$Y$1))</f>
        <v>79.7</v>
      </c>
      <c r="W5" s="41">
        <f t="shared" si="2"/>
        <v>153.84</v>
      </c>
      <c r="X5" s="82"/>
      <c r="Y5" s="41">
        <f>ROUND(D5/(1-$Y$1)*1.2,2)</f>
        <v>95.64</v>
      </c>
      <c r="Z5" s="41">
        <f>ROUND(E5/(1-$Y$1)*1.2,2)</f>
        <v>184.61</v>
      </c>
      <c r="AB5" s="182">
        <f>ROUNDDOWN(D5/(1-$Y$1)*1.2,1)</f>
        <v>95.6</v>
      </c>
      <c r="AC5" s="182">
        <f>ROUNDDOWN(E5/(1-$Y$1)*1.2,1)</f>
        <v>184.6</v>
      </c>
      <c r="AE5" s="40">
        <f>AB5/1.2</f>
        <v>79.666666666666671</v>
      </c>
      <c r="AF5" s="40">
        <f>AC5/1.2</f>
        <v>153.83333333333334</v>
      </c>
      <c r="AH5" s="40">
        <f>Y5-AB5</f>
        <v>4.0000000000006253E-2</v>
      </c>
      <c r="AI5" s="40">
        <f>Z5-AC5</f>
        <v>1.0000000000019327E-2</v>
      </c>
      <c r="AK5" s="130">
        <f t="shared" ref="AK5:AL8" si="3">ROUND(M5*(1-(1/(1+$AL$1))),2)</f>
        <v>4.78</v>
      </c>
      <c r="AL5" s="130">
        <f t="shared" si="3"/>
        <v>9.23</v>
      </c>
      <c r="AM5" s="40"/>
      <c r="AN5" s="40">
        <f>SUM(V5-G5)-AH5</f>
        <v>31.839999999999996</v>
      </c>
      <c r="AO5" s="40">
        <f>SUM(W5-H5)-AI5</f>
        <v>61.525999999999982</v>
      </c>
      <c r="AP5" s="40"/>
      <c r="AQ5" s="144">
        <f t="shared" ref="AQ5:AR8" si="4">(SUM(G5-D5)/D5*$Y$1)</f>
        <v>9.9999999999999978E-2</v>
      </c>
      <c r="AR5" s="144">
        <f t="shared" si="4"/>
        <v>0.1</v>
      </c>
      <c r="AS5" s="40"/>
      <c r="AT5" s="146">
        <f t="shared" ref="AT5:AU8" si="5">AN5/V5</f>
        <v>0.39949811794228351</v>
      </c>
      <c r="AU5" s="146">
        <f t="shared" si="5"/>
        <v>0.39993499739989585</v>
      </c>
      <c r="AV5" s="40"/>
      <c r="AW5" s="76">
        <f t="shared" ref="AW5:AX8" si="6">D5/V5</f>
        <v>0.5</v>
      </c>
      <c r="AX5" s="76">
        <f t="shared" si="6"/>
        <v>0.5</v>
      </c>
      <c r="AY5" s="42"/>
      <c r="AZ5" s="42">
        <f t="shared" ref="AZ5:BA8" si="7">J5+AN5</f>
        <v>39.809999999999995</v>
      </c>
      <c r="BA5" s="42">
        <f t="shared" si="7"/>
        <v>76.909999999999982</v>
      </c>
      <c r="BB5" s="42"/>
      <c r="BC5" s="76">
        <f t="shared" ref="BC5:BD8" si="8">AZ5/(D5/$Y$1)</f>
        <v>0.49949811794228349</v>
      </c>
      <c r="BD5" s="76">
        <f t="shared" si="8"/>
        <v>0.49993499739989589</v>
      </c>
      <c r="BE5" s="42"/>
    </row>
    <row r="6" spans="1:57" x14ac:dyDescent="0.25">
      <c r="A6" t="s">
        <v>134</v>
      </c>
      <c r="D6" s="162">
        <f>ROUND('AMT Silver Standard re 24Feb26'!D6*(1+$B$4)*(1+D$1),2)</f>
        <v>59.78</v>
      </c>
      <c r="E6" s="162">
        <f>ROUND('AMT Silver Standard re 24Feb26'!E6*(1+$B$4)*(1+E$1),2)</f>
        <v>115.38</v>
      </c>
      <c r="F6" s="81"/>
      <c r="G6" s="153">
        <f t="shared" si="0"/>
        <v>71.736000000000004</v>
      </c>
      <c r="H6" s="153">
        <f t="shared" si="0"/>
        <v>138.45599999999999</v>
      </c>
      <c r="I6" s="83"/>
      <c r="J6" s="155">
        <f>G6-D6</f>
        <v>11.956000000000003</v>
      </c>
      <c r="K6" s="155">
        <f>H6-E6</f>
        <v>23.075999999999993</v>
      </c>
      <c r="L6" s="83"/>
      <c r="M6" s="134">
        <f t="shared" ref="M6:N8" si="9">ROUND(D6*(1+$G$1*2),2)*SUM(1+$M$1)</f>
        <v>78.914000000000001</v>
      </c>
      <c r="N6" s="134">
        <f t="shared" si="9"/>
        <v>152.30600000000001</v>
      </c>
      <c r="P6" s="134">
        <f>M6-D6</f>
        <v>19.134</v>
      </c>
      <c r="Q6" s="134">
        <f>N6-E6</f>
        <v>36.926000000000016</v>
      </c>
      <c r="S6" s="141">
        <f t="shared" si="1"/>
        <v>9.9949815991970559E-2</v>
      </c>
      <c r="T6" s="141">
        <f t="shared" si="1"/>
        <v>0.10003177904893974</v>
      </c>
      <c r="V6" s="41">
        <f t="shared" si="2"/>
        <v>119.56</v>
      </c>
      <c r="W6" s="41">
        <f t="shared" si="2"/>
        <v>230.76</v>
      </c>
      <c r="X6" s="82"/>
      <c r="Y6" s="41">
        <f t="shared" ref="Y6:Z8" si="10">ROUND(D6/(1-$Y$1)*1.2,2)</f>
        <v>143.47</v>
      </c>
      <c r="Z6" s="41">
        <f t="shared" si="10"/>
        <v>276.91000000000003</v>
      </c>
      <c r="AB6" s="182">
        <f t="shared" ref="AB6:AC8" si="11">ROUNDDOWN(D6/(1-$Y$1)*1.2,1)</f>
        <v>143.4</v>
      </c>
      <c r="AC6" s="182">
        <f t="shared" si="11"/>
        <v>276.89999999999998</v>
      </c>
      <c r="AE6" s="40">
        <f t="shared" ref="AE6:AF8" si="12">AB6/1.2</f>
        <v>119.50000000000001</v>
      </c>
      <c r="AF6" s="40">
        <f t="shared" si="12"/>
        <v>230.75</v>
      </c>
      <c r="AH6" s="40">
        <f t="shared" ref="AH6:AI8" si="13">Y6-AB6</f>
        <v>6.9999999999993179E-2</v>
      </c>
      <c r="AI6" s="40">
        <f t="shared" si="13"/>
        <v>1.0000000000047748E-2</v>
      </c>
      <c r="AK6" s="130">
        <f t="shared" si="3"/>
        <v>7.17</v>
      </c>
      <c r="AL6" s="130">
        <f t="shared" si="3"/>
        <v>13.85</v>
      </c>
      <c r="AM6" s="40"/>
      <c r="AN6" s="40">
        <f t="shared" ref="AN6:AO8" si="14">SUM(V6-G6)-AH6</f>
        <v>47.754000000000005</v>
      </c>
      <c r="AO6" s="40">
        <f t="shared" si="14"/>
        <v>92.293999999999954</v>
      </c>
      <c r="AP6" s="40"/>
      <c r="AQ6" s="144">
        <f t="shared" si="4"/>
        <v>0.10000000000000002</v>
      </c>
      <c r="AR6" s="144">
        <f t="shared" si="4"/>
        <v>9.9999999999999978E-2</v>
      </c>
      <c r="AS6" s="40"/>
      <c r="AT6" s="146">
        <f t="shared" si="5"/>
        <v>0.39941451990632321</v>
      </c>
      <c r="AU6" s="146">
        <f t="shared" si="5"/>
        <v>0.39995666493326382</v>
      </c>
      <c r="AV6" s="40"/>
      <c r="AW6" s="76">
        <f t="shared" si="6"/>
        <v>0.5</v>
      </c>
      <c r="AX6" s="76">
        <f t="shared" si="6"/>
        <v>0.5</v>
      </c>
      <c r="AY6" s="42"/>
      <c r="AZ6" s="42">
        <f t="shared" si="7"/>
        <v>59.710000000000008</v>
      </c>
      <c r="BA6" s="42">
        <f t="shared" si="7"/>
        <v>115.36999999999995</v>
      </c>
      <c r="BB6" s="42"/>
      <c r="BC6" s="76">
        <f t="shared" si="8"/>
        <v>0.49941451990632324</v>
      </c>
      <c r="BD6" s="76">
        <f t="shared" si="8"/>
        <v>0.49995666493326379</v>
      </c>
      <c r="BE6" s="42"/>
    </row>
    <row r="7" spans="1:57" x14ac:dyDescent="0.25">
      <c r="A7" t="s">
        <v>135</v>
      </c>
      <c r="D7" s="162">
        <f>ROUND('AMT Silver Standard re 24Feb26'!D7*(1+$B$4)*(1+D$1),2)</f>
        <v>66.84</v>
      </c>
      <c r="E7" s="162">
        <f>ROUND('AMT Silver Standard re 24Feb26'!E7*(1+$B$4)*(1+E$1),2)</f>
        <v>132.09</v>
      </c>
      <c r="F7" s="81"/>
      <c r="G7" s="153">
        <f t="shared" si="0"/>
        <v>80.207999999999998</v>
      </c>
      <c r="H7" s="153">
        <f t="shared" si="0"/>
        <v>158.50800000000001</v>
      </c>
      <c r="J7" s="155">
        <f t="shared" ref="J7:K8" si="15">G7-D7</f>
        <v>13.367999999999995</v>
      </c>
      <c r="K7" s="155">
        <f t="shared" si="15"/>
        <v>26.418000000000006</v>
      </c>
      <c r="M7" s="134">
        <f t="shared" si="9"/>
        <v>88.230999999999995</v>
      </c>
      <c r="N7" s="134">
        <f t="shared" si="9"/>
        <v>174.36099999999999</v>
      </c>
      <c r="P7" s="134">
        <f t="shared" ref="P7:Q8" si="16">M7-D7</f>
        <v>21.390999999999991</v>
      </c>
      <c r="Q7" s="134">
        <f t="shared" si="16"/>
        <v>42.270999999999987</v>
      </c>
      <c r="S7" s="141">
        <f t="shared" si="1"/>
        <v>9.9990025932575305E-2</v>
      </c>
      <c r="T7" s="141">
        <f t="shared" si="1"/>
        <v>9.9994952936129394E-2</v>
      </c>
      <c r="V7" s="41">
        <f t="shared" si="2"/>
        <v>133.68</v>
      </c>
      <c r="W7" s="41">
        <f t="shared" si="2"/>
        <v>264.18</v>
      </c>
      <c r="Y7" s="41">
        <f t="shared" si="10"/>
        <v>160.41999999999999</v>
      </c>
      <c r="Z7" s="41">
        <f t="shared" si="10"/>
        <v>317.02</v>
      </c>
      <c r="AB7" s="182">
        <f t="shared" si="11"/>
        <v>160.4</v>
      </c>
      <c r="AC7" s="182">
        <f t="shared" si="11"/>
        <v>317</v>
      </c>
      <c r="AE7" s="40">
        <f t="shared" si="12"/>
        <v>133.66666666666669</v>
      </c>
      <c r="AF7" s="40">
        <f t="shared" si="12"/>
        <v>264.16666666666669</v>
      </c>
      <c r="AH7" s="40">
        <f t="shared" si="13"/>
        <v>1.999999999998181E-2</v>
      </c>
      <c r="AI7" s="40">
        <f t="shared" si="13"/>
        <v>1.999999999998181E-2</v>
      </c>
      <c r="AK7" s="130">
        <f t="shared" si="3"/>
        <v>8.02</v>
      </c>
      <c r="AL7" s="130">
        <f t="shared" si="3"/>
        <v>15.85</v>
      </c>
      <c r="AM7" s="40"/>
      <c r="AN7" s="40">
        <f t="shared" si="14"/>
        <v>53.452000000000027</v>
      </c>
      <c r="AO7" s="40">
        <f t="shared" si="14"/>
        <v>105.65200000000002</v>
      </c>
      <c r="AP7" s="40"/>
      <c r="AQ7" s="144">
        <f t="shared" si="4"/>
        <v>9.9999999999999964E-2</v>
      </c>
      <c r="AR7" s="144">
        <f t="shared" si="4"/>
        <v>0.10000000000000002</v>
      </c>
      <c r="AS7" s="40"/>
      <c r="AT7" s="146">
        <f t="shared" si="5"/>
        <v>0.39985038898862973</v>
      </c>
      <c r="AU7" s="146">
        <f t="shared" si="5"/>
        <v>0.39992429404194113</v>
      </c>
      <c r="AV7" s="40"/>
      <c r="AW7" s="76">
        <f t="shared" si="6"/>
        <v>0.5</v>
      </c>
      <c r="AX7" s="76">
        <f t="shared" si="6"/>
        <v>0.5</v>
      </c>
      <c r="AY7" s="42"/>
      <c r="AZ7" s="42">
        <f t="shared" si="7"/>
        <v>66.820000000000022</v>
      </c>
      <c r="BA7" s="42">
        <f t="shared" si="7"/>
        <v>132.07000000000002</v>
      </c>
      <c r="BB7" s="42"/>
      <c r="BC7" s="76">
        <f t="shared" si="8"/>
        <v>0.49985038898862971</v>
      </c>
      <c r="BD7" s="76">
        <f t="shared" si="8"/>
        <v>0.49992429404194116</v>
      </c>
      <c r="BE7" s="42"/>
    </row>
    <row r="8" spans="1:57" x14ac:dyDescent="0.25">
      <c r="A8" t="s">
        <v>136</v>
      </c>
      <c r="D8" s="162">
        <f>ROUND('AMT Silver Standard re 24Feb26'!D8*(1+$B$4)*(1+D$1),2)</f>
        <v>69.69</v>
      </c>
      <c r="E8" s="162">
        <f>ROUND('AMT Silver Standard re 24Feb26'!E8*(1+$B$4)*(1+E$1),2)</f>
        <v>136.19</v>
      </c>
      <c r="F8" s="81"/>
      <c r="G8" s="153">
        <f t="shared" si="0"/>
        <v>83.628</v>
      </c>
      <c r="H8" s="153">
        <f t="shared" si="0"/>
        <v>163.428</v>
      </c>
      <c r="J8" s="155">
        <f t="shared" si="15"/>
        <v>13.938000000000002</v>
      </c>
      <c r="K8" s="155">
        <f t="shared" si="15"/>
        <v>27.238</v>
      </c>
      <c r="M8" s="134">
        <f t="shared" si="9"/>
        <v>91.993000000000009</v>
      </c>
      <c r="N8" s="134">
        <f t="shared" si="9"/>
        <v>179.77300000000002</v>
      </c>
      <c r="P8" s="134">
        <f t="shared" si="16"/>
        <v>22.303000000000011</v>
      </c>
      <c r="Q8" s="134">
        <f t="shared" si="16"/>
        <v>43.583000000000027</v>
      </c>
      <c r="S8" s="141">
        <f t="shared" si="1"/>
        <v>9.9966518390969525E-2</v>
      </c>
      <c r="T8" s="141">
        <f t="shared" si="1"/>
        <v>9.9982867072961792E-2</v>
      </c>
      <c r="V8" s="41">
        <f t="shared" si="2"/>
        <v>139.38</v>
      </c>
      <c r="W8" s="41">
        <f t="shared" si="2"/>
        <v>272.38</v>
      </c>
      <c r="Y8" s="41">
        <f t="shared" si="10"/>
        <v>167.26</v>
      </c>
      <c r="Z8" s="41">
        <f t="shared" si="10"/>
        <v>326.86</v>
      </c>
      <c r="AB8" s="182">
        <f t="shared" si="11"/>
        <v>167.2</v>
      </c>
      <c r="AC8" s="182">
        <f t="shared" si="11"/>
        <v>326.8</v>
      </c>
      <c r="AE8" s="40">
        <f t="shared" si="12"/>
        <v>139.33333333333334</v>
      </c>
      <c r="AF8" s="40">
        <f t="shared" si="12"/>
        <v>272.33333333333337</v>
      </c>
      <c r="AH8" s="40">
        <f t="shared" si="13"/>
        <v>6.0000000000002274E-2</v>
      </c>
      <c r="AI8" s="40">
        <f t="shared" si="13"/>
        <v>6.0000000000002274E-2</v>
      </c>
      <c r="AK8" s="130">
        <f t="shared" si="3"/>
        <v>8.36</v>
      </c>
      <c r="AL8" s="130">
        <f t="shared" si="3"/>
        <v>16.34</v>
      </c>
      <c r="AM8" s="40"/>
      <c r="AN8" s="40">
        <f t="shared" si="14"/>
        <v>55.691999999999993</v>
      </c>
      <c r="AO8" s="40">
        <f t="shared" si="14"/>
        <v>108.892</v>
      </c>
      <c r="AP8" s="40"/>
      <c r="AQ8" s="144">
        <f t="shared" si="4"/>
        <v>0.10000000000000002</v>
      </c>
      <c r="AR8" s="144">
        <f t="shared" si="4"/>
        <v>0.1</v>
      </c>
      <c r="AS8" s="40"/>
      <c r="AT8" s="146">
        <f t="shared" si="5"/>
        <v>0.39956952216960823</v>
      </c>
      <c r="AU8" s="146">
        <f t="shared" si="5"/>
        <v>0.39977971950950875</v>
      </c>
      <c r="AV8" s="40"/>
      <c r="AW8" s="76">
        <f t="shared" si="6"/>
        <v>0.5</v>
      </c>
      <c r="AX8" s="76">
        <f t="shared" si="6"/>
        <v>0.5</v>
      </c>
      <c r="AY8" s="42"/>
      <c r="AZ8" s="42">
        <f t="shared" si="7"/>
        <v>69.63</v>
      </c>
      <c r="BA8" s="42">
        <f t="shared" si="7"/>
        <v>136.13</v>
      </c>
      <c r="BB8" s="42"/>
      <c r="BC8" s="76">
        <f t="shared" si="8"/>
        <v>0.49956952216960826</v>
      </c>
      <c r="BD8" s="76">
        <f t="shared" si="8"/>
        <v>0.49977971950950878</v>
      </c>
      <c r="BE8" s="42"/>
    </row>
    <row r="9" spans="1:57" ht="15.75" thickBot="1" x14ac:dyDescent="0.3">
      <c r="A9"/>
      <c r="D9" s="162"/>
      <c r="E9" s="162"/>
      <c r="F9" s="41"/>
      <c r="G9" s="153"/>
      <c r="H9" s="153"/>
      <c r="I9" s="75"/>
      <c r="J9" s="156"/>
      <c r="K9" s="156"/>
      <c r="L9" s="75"/>
      <c r="M9" s="134"/>
      <c r="N9" s="134"/>
      <c r="P9" s="134"/>
      <c r="Q9" s="134"/>
      <c r="S9" s="140"/>
      <c r="T9" s="140"/>
      <c r="V9" s="40"/>
      <c r="W9" s="40"/>
      <c r="Y9" s="41"/>
      <c r="Z9" s="41"/>
      <c r="AK9" s="130"/>
      <c r="AL9" s="130"/>
      <c r="AM9" s="40"/>
      <c r="AN9" s="40"/>
      <c r="AO9" s="40"/>
      <c r="AP9" s="40"/>
      <c r="AQ9" s="145"/>
      <c r="AR9" s="145"/>
      <c r="AS9" s="40"/>
      <c r="AT9" s="146"/>
      <c r="AU9" s="146"/>
      <c r="AV9" s="40"/>
      <c r="AW9" s="76"/>
      <c r="AX9" s="76"/>
      <c r="AY9" s="42"/>
      <c r="AZ9" s="42"/>
      <c r="BA9" s="42"/>
      <c r="BB9" s="42"/>
      <c r="BC9" s="76"/>
      <c r="BD9" s="76"/>
      <c r="BE9" s="42"/>
    </row>
    <row r="10" spans="1:57" ht="15.75" thickBot="1" x14ac:dyDescent="0.3">
      <c r="A10" s="167" t="s">
        <v>137</v>
      </c>
      <c r="B10" s="163">
        <v>0.25</v>
      </c>
      <c r="D10" s="162"/>
      <c r="E10" s="162"/>
      <c r="F10" s="41"/>
      <c r="G10" s="153"/>
      <c r="H10" s="153"/>
      <c r="J10" s="154"/>
      <c r="K10" s="154"/>
      <c r="M10" s="134"/>
      <c r="N10" s="134"/>
      <c r="P10" s="134"/>
      <c r="Q10" s="134"/>
      <c r="S10" s="140"/>
      <c r="T10" s="140"/>
      <c r="V10" s="40"/>
      <c r="W10" s="40"/>
      <c r="Y10" s="41"/>
      <c r="Z10" s="41"/>
      <c r="AK10" s="130"/>
      <c r="AL10" s="130"/>
      <c r="AM10" s="40"/>
      <c r="AN10" s="40"/>
      <c r="AO10" s="40"/>
      <c r="AP10" s="40"/>
      <c r="AQ10" s="145"/>
      <c r="AR10" s="145"/>
      <c r="AS10" s="40"/>
      <c r="AT10" s="146"/>
      <c r="AU10" s="146"/>
      <c r="AV10" s="40"/>
      <c r="AW10" s="76"/>
      <c r="AX10" s="76"/>
      <c r="AY10" s="42"/>
      <c r="AZ10" s="42"/>
      <c r="BA10" s="42"/>
      <c r="BB10" s="42"/>
      <c r="BC10" s="76"/>
      <c r="BD10" s="76"/>
      <c r="BE10" s="42"/>
    </row>
    <row r="11" spans="1:57" x14ac:dyDescent="0.25">
      <c r="A11" t="s">
        <v>133</v>
      </c>
      <c r="D11" s="162">
        <f>ROUND('AMT Silver Standard re 24Feb26'!D11*(1+$B$10)*(1+D$1),2)</f>
        <v>45.29</v>
      </c>
      <c r="E11" s="162">
        <f>ROUND('AMT Silver Standard re 24Feb26'!E11*(1+$B$10)*(1+E$1),2)</f>
        <v>87.41</v>
      </c>
      <c r="F11" s="81"/>
      <c r="G11" s="153">
        <f t="shared" ref="G11:H14" si="17">D11*SUM(1+$G$1/$Y$1)</f>
        <v>54.347999999999999</v>
      </c>
      <c r="H11" s="153">
        <f t="shared" si="17"/>
        <v>104.892</v>
      </c>
      <c r="J11" s="155">
        <f t="shared" ref="J11:K14" si="18">G11-D11</f>
        <v>9.0579999999999998</v>
      </c>
      <c r="K11" s="155">
        <f t="shared" si="18"/>
        <v>17.481999999999999</v>
      </c>
      <c r="M11" s="134">
        <f>ROUND(D11*(1+$G$1*2),2)*SUM(1+$M$1)</f>
        <v>59.785000000000004</v>
      </c>
      <c r="N11" s="134">
        <f>ROUND(E11*(1+$G$1*2),2)*SUM(1+$M$1)</f>
        <v>115.379</v>
      </c>
      <c r="P11" s="134">
        <f t="shared" ref="P11:Q14" si="19">M11-D11</f>
        <v>14.495000000000005</v>
      </c>
      <c r="Q11" s="134">
        <f t="shared" si="19"/>
        <v>27.969000000000008</v>
      </c>
      <c r="S11" s="141">
        <f t="shared" ref="S11:T14" si="20">AK11/G11</f>
        <v>0.10009567969382499</v>
      </c>
      <c r="T11" s="141">
        <f t="shared" si="20"/>
        <v>0.10000762689242269</v>
      </c>
      <c r="V11" s="41">
        <f t="shared" ref="V11:W14" si="21">SUM(D11/(1-$Y$1))</f>
        <v>90.58</v>
      </c>
      <c r="W11" s="41">
        <f t="shared" si="21"/>
        <v>174.82</v>
      </c>
      <c r="Y11" s="41">
        <f>ROUND(D11/(1-$Y$1)*1.2,2)</f>
        <v>108.7</v>
      </c>
      <c r="Z11" s="41">
        <f>ROUND(E11/(1-$Y$1)*1.2,2)</f>
        <v>209.78</v>
      </c>
      <c r="AB11" s="182">
        <f t="shared" ref="AB11:AC14" si="22">ROUNDDOWN(D11/(1-$Y$1)*1.2,1)</f>
        <v>108.6</v>
      </c>
      <c r="AC11" s="182">
        <f t="shared" si="22"/>
        <v>209.7</v>
      </c>
      <c r="AE11" s="40">
        <f t="shared" ref="AE11:AF14" si="23">AB11/1.2</f>
        <v>90.5</v>
      </c>
      <c r="AF11" s="40">
        <f t="shared" si="23"/>
        <v>174.75</v>
      </c>
      <c r="AH11" s="40">
        <f t="shared" ref="AH11:AI14" si="24">Y11-AB11</f>
        <v>0.10000000000000853</v>
      </c>
      <c r="AI11" s="40">
        <f t="shared" si="24"/>
        <v>8.0000000000012506E-2</v>
      </c>
      <c r="AK11" s="130">
        <f t="shared" ref="AK11:AL14" si="25">ROUND(M11*(1-(1/(1+$AL$1))),2)</f>
        <v>5.44</v>
      </c>
      <c r="AL11" s="130">
        <f t="shared" si="25"/>
        <v>10.49</v>
      </c>
      <c r="AM11" s="40"/>
      <c r="AN11" s="40">
        <f t="shared" ref="AN11:AO14" si="26">SUM(V11-G11)-AH11</f>
        <v>36.131999999999991</v>
      </c>
      <c r="AO11" s="40">
        <f t="shared" si="26"/>
        <v>69.847999999999985</v>
      </c>
      <c r="AP11" s="40"/>
      <c r="AQ11" s="144">
        <f t="shared" ref="AQ11:AR14" si="27">(SUM(G11-D11)/D11*$Y$1)</f>
        <v>0.1</v>
      </c>
      <c r="AR11" s="144">
        <f t="shared" si="27"/>
        <v>0.1</v>
      </c>
      <c r="AS11" s="40"/>
      <c r="AT11" s="146">
        <f t="shared" ref="AT11:AU14" si="28">AN11/V11</f>
        <v>0.39889600353278859</v>
      </c>
      <c r="AU11" s="146">
        <f t="shared" si="28"/>
        <v>0.39954238645463896</v>
      </c>
      <c r="AV11" s="40"/>
      <c r="AW11" s="76">
        <f t="shared" ref="AW11:AX14" si="29">D11/V11</f>
        <v>0.5</v>
      </c>
      <c r="AX11" s="76">
        <f t="shared" si="29"/>
        <v>0.5</v>
      </c>
      <c r="AY11" s="42"/>
      <c r="AZ11" s="42">
        <f t="shared" ref="AZ11:BA14" si="30">J11+AN11</f>
        <v>45.189999999999991</v>
      </c>
      <c r="BA11" s="42">
        <f t="shared" si="30"/>
        <v>87.329999999999984</v>
      </c>
      <c r="BB11" s="42"/>
      <c r="BC11" s="76">
        <f t="shared" ref="BC11:BD14" si="31">AZ11/(D11/$Y$1)</f>
        <v>0.49889600353278862</v>
      </c>
      <c r="BD11" s="76">
        <f t="shared" si="31"/>
        <v>0.499542386454639</v>
      </c>
      <c r="BE11" s="42"/>
    </row>
    <row r="12" spans="1:57" x14ac:dyDescent="0.25">
      <c r="A12" t="s">
        <v>134</v>
      </c>
      <c r="D12" s="162">
        <f>ROUND('AMT Silver Standard re 24Feb26'!D12*(1+$B$10)*(1+D$1),2)</f>
        <v>67.930000000000007</v>
      </c>
      <c r="E12" s="162">
        <f>ROUND('AMT Silver Standard re 24Feb26'!E12*(1+$B$10)*(1+E$1),2)</f>
        <v>131.12</v>
      </c>
      <c r="F12" s="81"/>
      <c r="G12" s="153">
        <f t="shared" si="17"/>
        <v>81.516000000000005</v>
      </c>
      <c r="H12" s="153">
        <f t="shared" si="17"/>
        <v>157.34399999999999</v>
      </c>
      <c r="J12" s="155">
        <f t="shared" si="18"/>
        <v>13.585999999999999</v>
      </c>
      <c r="K12" s="155">
        <f t="shared" si="18"/>
        <v>26.22399999999999</v>
      </c>
      <c r="M12" s="134">
        <f>ROUND(D12*(1+$G$1*2),2)*SUM(1+$M$1)</f>
        <v>89.671999999999997</v>
      </c>
      <c r="N12" s="134">
        <f t="shared" ref="M12:N14" si="32">ROUND(E12*(1+$G$1*2),2)*SUM(1+$M$1)</f>
        <v>173.07400000000001</v>
      </c>
      <c r="P12" s="134">
        <f t="shared" si="19"/>
        <v>21.74199999999999</v>
      </c>
      <c r="Q12" s="134">
        <f t="shared" si="19"/>
        <v>41.954000000000008</v>
      </c>
      <c r="S12" s="141">
        <f t="shared" si="20"/>
        <v>9.9980371951518723E-2</v>
      </c>
      <c r="T12" s="141">
        <f t="shared" si="20"/>
        <v>9.9972035794183456E-2</v>
      </c>
      <c r="V12" s="41">
        <f t="shared" si="21"/>
        <v>135.86000000000001</v>
      </c>
      <c r="W12" s="41">
        <f t="shared" si="21"/>
        <v>262.24</v>
      </c>
      <c r="Y12" s="41">
        <f t="shared" ref="Y12:Z14" si="33">ROUND(D12/(1-$Y$1)*1.2,2)</f>
        <v>163.03</v>
      </c>
      <c r="Z12" s="41">
        <f t="shared" si="33"/>
        <v>314.69</v>
      </c>
      <c r="AB12" s="182">
        <f t="shared" si="22"/>
        <v>163</v>
      </c>
      <c r="AC12" s="182">
        <f t="shared" si="22"/>
        <v>314.60000000000002</v>
      </c>
      <c r="AE12" s="40">
        <f t="shared" si="23"/>
        <v>135.83333333333334</v>
      </c>
      <c r="AF12" s="40">
        <f t="shared" si="23"/>
        <v>262.16666666666669</v>
      </c>
      <c r="AH12" s="40">
        <f t="shared" si="24"/>
        <v>3.0000000000001137E-2</v>
      </c>
      <c r="AI12" s="40">
        <f t="shared" si="24"/>
        <v>8.9999999999974989E-2</v>
      </c>
      <c r="AK12" s="130">
        <f t="shared" si="25"/>
        <v>8.15</v>
      </c>
      <c r="AL12" s="130">
        <f t="shared" si="25"/>
        <v>15.73</v>
      </c>
      <c r="AM12" s="40"/>
      <c r="AN12" s="40">
        <f t="shared" si="26"/>
        <v>54.314000000000007</v>
      </c>
      <c r="AO12" s="40">
        <f t="shared" si="26"/>
        <v>104.80600000000004</v>
      </c>
      <c r="AP12" s="40"/>
      <c r="AQ12" s="144">
        <f t="shared" si="27"/>
        <v>9.9999999999999978E-2</v>
      </c>
      <c r="AR12" s="144">
        <f t="shared" si="27"/>
        <v>9.999999999999995E-2</v>
      </c>
      <c r="AS12" s="40"/>
      <c r="AT12" s="146">
        <f t="shared" si="28"/>
        <v>0.3997791844545856</v>
      </c>
      <c r="AU12" s="146">
        <f t="shared" si="28"/>
        <v>0.39965680292861516</v>
      </c>
      <c r="AV12" s="40"/>
      <c r="AW12" s="76">
        <f t="shared" si="29"/>
        <v>0.5</v>
      </c>
      <c r="AX12" s="76">
        <f t="shared" si="29"/>
        <v>0.5</v>
      </c>
      <c r="AY12" s="42"/>
      <c r="AZ12" s="42">
        <f t="shared" si="30"/>
        <v>67.900000000000006</v>
      </c>
      <c r="BA12" s="42">
        <f t="shared" si="30"/>
        <v>131.03000000000003</v>
      </c>
      <c r="BB12" s="42"/>
      <c r="BC12" s="76">
        <f t="shared" si="31"/>
        <v>0.49977918445458558</v>
      </c>
      <c r="BD12" s="76">
        <f t="shared" si="31"/>
        <v>0.49965680292861508</v>
      </c>
      <c r="BE12" s="42"/>
    </row>
    <row r="13" spans="1:57" x14ac:dyDescent="0.25">
      <c r="A13" t="s">
        <v>135</v>
      </c>
      <c r="D13" s="162">
        <f>ROUND('AMT Silver Standard re 24Feb26'!D13*(1+$B$10)*(1+D$1),2)</f>
        <v>75.959999999999994</v>
      </c>
      <c r="E13" s="162">
        <f>ROUND('AMT Silver Standard re 24Feb26'!E13*(1+$B$10)*(1+E$1),2)</f>
        <v>150.11000000000001</v>
      </c>
      <c r="F13" s="81"/>
      <c r="G13" s="153">
        <f t="shared" si="17"/>
        <v>91.151999999999987</v>
      </c>
      <c r="H13" s="153">
        <f t="shared" si="17"/>
        <v>180.13200000000001</v>
      </c>
      <c r="J13" s="155">
        <f t="shared" si="18"/>
        <v>15.191999999999993</v>
      </c>
      <c r="K13" s="155">
        <f t="shared" si="18"/>
        <v>30.021999999999991</v>
      </c>
      <c r="M13" s="134">
        <f t="shared" si="32"/>
        <v>100.26500000000001</v>
      </c>
      <c r="N13" s="134">
        <f t="shared" si="32"/>
        <v>198.143</v>
      </c>
      <c r="P13" s="134">
        <f t="shared" si="19"/>
        <v>24.305000000000021</v>
      </c>
      <c r="Q13" s="134">
        <f t="shared" si="19"/>
        <v>48.032999999999987</v>
      </c>
      <c r="S13" s="141">
        <f t="shared" si="20"/>
        <v>0.10005265929436546</v>
      </c>
      <c r="T13" s="141">
        <f t="shared" si="20"/>
        <v>9.9982235249705773E-2</v>
      </c>
      <c r="V13" s="41">
        <f t="shared" si="21"/>
        <v>151.91999999999999</v>
      </c>
      <c r="W13" s="41">
        <f t="shared" si="21"/>
        <v>300.22000000000003</v>
      </c>
      <c r="Y13" s="41">
        <f t="shared" si="33"/>
        <v>182.3</v>
      </c>
      <c r="Z13" s="41">
        <f t="shared" si="33"/>
        <v>360.26</v>
      </c>
      <c r="AB13" s="182">
        <f t="shared" si="22"/>
        <v>182.3</v>
      </c>
      <c r="AC13" s="182">
        <f t="shared" si="22"/>
        <v>360.2</v>
      </c>
      <c r="AE13" s="40">
        <f t="shared" si="23"/>
        <v>151.91666666666669</v>
      </c>
      <c r="AF13" s="40">
        <f t="shared" si="23"/>
        <v>300.16666666666669</v>
      </c>
      <c r="AH13" s="40">
        <f t="shared" si="24"/>
        <v>0</v>
      </c>
      <c r="AI13" s="40">
        <f t="shared" si="24"/>
        <v>6.0000000000002274E-2</v>
      </c>
      <c r="AK13" s="130">
        <f t="shared" si="25"/>
        <v>9.1199999999999992</v>
      </c>
      <c r="AL13" s="130">
        <f t="shared" si="25"/>
        <v>18.010000000000002</v>
      </c>
      <c r="AM13" s="40"/>
      <c r="AN13" s="40">
        <f t="shared" si="26"/>
        <v>60.768000000000001</v>
      </c>
      <c r="AO13" s="40">
        <f t="shared" si="26"/>
        <v>120.02800000000002</v>
      </c>
      <c r="AP13" s="40"/>
      <c r="AQ13" s="144">
        <f t="shared" si="27"/>
        <v>9.9999999999999964E-2</v>
      </c>
      <c r="AR13" s="144">
        <f t="shared" si="27"/>
        <v>9.9999999999999964E-2</v>
      </c>
      <c r="AS13" s="40"/>
      <c r="AT13" s="146">
        <f t="shared" si="28"/>
        <v>0.4</v>
      </c>
      <c r="AU13" s="146">
        <f t="shared" si="28"/>
        <v>0.39980014655918994</v>
      </c>
      <c r="AV13" s="40"/>
      <c r="AW13" s="76">
        <f t="shared" si="29"/>
        <v>0.5</v>
      </c>
      <c r="AX13" s="76">
        <f t="shared" si="29"/>
        <v>0.5</v>
      </c>
      <c r="AY13" s="42"/>
      <c r="AZ13" s="42">
        <f t="shared" si="30"/>
        <v>75.959999999999994</v>
      </c>
      <c r="BA13" s="42">
        <f t="shared" si="30"/>
        <v>150.05000000000001</v>
      </c>
      <c r="BB13" s="42"/>
      <c r="BC13" s="76">
        <f t="shared" si="31"/>
        <v>0.5</v>
      </c>
      <c r="BD13" s="76">
        <f t="shared" si="31"/>
        <v>0.49980014655918992</v>
      </c>
      <c r="BE13" s="42"/>
    </row>
    <row r="14" spans="1:57" x14ac:dyDescent="0.25">
      <c r="A14" t="s">
        <v>136</v>
      </c>
      <c r="D14" s="162">
        <f>ROUND('AMT Silver Standard re 24Feb26'!D14*(1+$B$10)*(1+D$1),2)</f>
        <v>79.19</v>
      </c>
      <c r="E14" s="162">
        <f>ROUND('AMT Silver Standard re 24Feb26'!E14*(1+$B$10)*(1+E$1),2)</f>
        <v>154.76</v>
      </c>
      <c r="F14" s="81"/>
      <c r="G14" s="153">
        <f t="shared" si="17"/>
        <v>95.027999999999992</v>
      </c>
      <c r="H14" s="153">
        <f t="shared" si="17"/>
        <v>185.71199999999999</v>
      </c>
      <c r="J14" s="155">
        <f t="shared" si="18"/>
        <v>15.837999999999994</v>
      </c>
      <c r="K14" s="155">
        <f t="shared" si="18"/>
        <v>30.951999999999998</v>
      </c>
      <c r="M14" s="134">
        <f t="shared" si="32"/>
        <v>104.53300000000002</v>
      </c>
      <c r="N14" s="134">
        <f t="shared" si="32"/>
        <v>204.28100000000003</v>
      </c>
      <c r="P14" s="134">
        <f t="shared" si="19"/>
        <v>25.343000000000018</v>
      </c>
      <c r="Q14" s="134">
        <f t="shared" si="19"/>
        <v>49.521000000000043</v>
      </c>
      <c r="S14" s="141">
        <f t="shared" si="20"/>
        <v>9.997053500021047E-2</v>
      </c>
      <c r="T14" s="141">
        <f t="shared" si="20"/>
        <v>9.999353838201086E-2</v>
      </c>
      <c r="V14" s="41">
        <f t="shared" si="21"/>
        <v>158.38</v>
      </c>
      <c r="W14" s="41">
        <f t="shared" si="21"/>
        <v>309.52</v>
      </c>
      <c r="Y14" s="41">
        <f t="shared" si="33"/>
        <v>190.06</v>
      </c>
      <c r="Z14" s="41">
        <f t="shared" si="33"/>
        <v>371.42</v>
      </c>
      <c r="AB14" s="182">
        <f t="shared" si="22"/>
        <v>190</v>
      </c>
      <c r="AC14" s="182">
        <f t="shared" si="22"/>
        <v>371.4</v>
      </c>
      <c r="AE14" s="40">
        <f t="shared" si="23"/>
        <v>158.33333333333334</v>
      </c>
      <c r="AF14" s="40">
        <f t="shared" si="23"/>
        <v>309.5</v>
      </c>
      <c r="AH14" s="40">
        <f t="shared" si="24"/>
        <v>6.0000000000002274E-2</v>
      </c>
      <c r="AI14" s="40">
        <f t="shared" si="24"/>
        <v>2.0000000000038654E-2</v>
      </c>
      <c r="AK14" s="130">
        <f t="shared" si="25"/>
        <v>9.5</v>
      </c>
      <c r="AL14" s="130">
        <f t="shared" si="25"/>
        <v>18.57</v>
      </c>
      <c r="AM14" s="40"/>
      <c r="AN14" s="40">
        <f t="shared" si="26"/>
        <v>63.292000000000002</v>
      </c>
      <c r="AO14" s="40">
        <f t="shared" si="26"/>
        <v>123.78799999999995</v>
      </c>
      <c r="AP14" s="40"/>
      <c r="AQ14" s="144">
        <f t="shared" si="27"/>
        <v>9.9999999999999964E-2</v>
      </c>
      <c r="AR14" s="144">
        <f t="shared" si="27"/>
        <v>0.1</v>
      </c>
      <c r="AS14" s="40"/>
      <c r="AT14" s="146">
        <f t="shared" si="28"/>
        <v>0.39962116428842026</v>
      </c>
      <c r="AU14" s="146">
        <f t="shared" si="28"/>
        <v>0.3999353838201084</v>
      </c>
      <c r="AV14" s="40"/>
      <c r="AW14" s="76">
        <f t="shared" si="29"/>
        <v>0.5</v>
      </c>
      <c r="AX14" s="76">
        <f t="shared" si="29"/>
        <v>0.5</v>
      </c>
      <c r="AY14" s="42"/>
      <c r="AZ14" s="42">
        <f t="shared" si="30"/>
        <v>79.13</v>
      </c>
      <c r="BA14" s="42">
        <f t="shared" si="30"/>
        <v>154.73999999999995</v>
      </c>
      <c r="BB14" s="42"/>
      <c r="BC14" s="76">
        <f t="shared" si="31"/>
        <v>0.49962116428842024</v>
      </c>
      <c r="BD14" s="76">
        <f t="shared" si="31"/>
        <v>0.49993538382010844</v>
      </c>
      <c r="BE14" s="42"/>
    </row>
    <row r="15" spans="1:57" ht="15.75" thickBot="1" x14ac:dyDescent="0.3">
      <c r="A15"/>
      <c r="D15" s="150"/>
      <c r="E15" s="150"/>
      <c r="F15" s="41"/>
      <c r="G15" s="153"/>
      <c r="H15" s="153"/>
      <c r="J15" s="154"/>
      <c r="K15" s="154"/>
      <c r="M15" s="134"/>
      <c r="N15" s="134"/>
      <c r="P15" s="134"/>
      <c r="Q15" s="134"/>
      <c r="S15" s="140"/>
      <c r="T15" s="140"/>
      <c r="V15" s="40"/>
      <c r="W15" s="40"/>
      <c r="Y15" s="41"/>
      <c r="Z15" s="41"/>
      <c r="AK15" s="130"/>
      <c r="AL15" s="130"/>
      <c r="AM15" s="40"/>
      <c r="AN15" s="40"/>
      <c r="AO15" s="40"/>
      <c r="AP15" s="40"/>
      <c r="AQ15" s="145"/>
      <c r="AR15" s="145"/>
      <c r="AS15" s="40"/>
      <c r="AT15" s="146"/>
      <c r="AU15" s="146"/>
      <c r="AV15" s="40"/>
      <c r="AW15" s="76"/>
      <c r="AX15" s="76"/>
      <c r="AY15" s="42"/>
      <c r="AZ15" s="42"/>
      <c r="BA15" s="42"/>
      <c r="BB15" s="42"/>
      <c r="BC15" s="76"/>
      <c r="BD15" s="76"/>
      <c r="BE15" s="42"/>
    </row>
    <row r="16" spans="1:57" ht="15.75" thickBot="1" x14ac:dyDescent="0.3">
      <c r="A16" s="167" t="s">
        <v>138</v>
      </c>
      <c r="B16" s="163">
        <v>0.15</v>
      </c>
      <c r="D16" s="149"/>
      <c r="E16" s="149"/>
      <c r="F16" s="41"/>
      <c r="G16" s="153"/>
      <c r="H16" s="153"/>
      <c r="J16" s="154"/>
      <c r="K16" s="154"/>
      <c r="M16" s="134"/>
      <c r="N16" s="134"/>
      <c r="P16" s="134"/>
      <c r="Q16" s="134"/>
      <c r="S16" s="140"/>
      <c r="T16" s="140"/>
      <c r="V16" s="40"/>
      <c r="W16" s="40"/>
      <c r="Y16" s="41"/>
      <c r="Z16" s="41"/>
      <c r="AK16" s="130"/>
      <c r="AL16" s="130"/>
      <c r="AM16" s="40"/>
      <c r="AN16" s="40"/>
      <c r="AO16" s="40"/>
      <c r="AP16" s="40"/>
      <c r="AQ16" s="145"/>
      <c r="AR16" s="145"/>
      <c r="AS16" s="40"/>
      <c r="AT16" s="146"/>
      <c r="AU16" s="146"/>
      <c r="AV16" s="40"/>
      <c r="AW16" s="76"/>
      <c r="AX16" s="76"/>
      <c r="AY16" s="42"/>
      <c r="AZ16" s="42"/>
      <c r="BA16" s="42"/>
      <c r="BB16" s="42"/>
      <c r="BC16" s="76"/>
      <c r="BD16" s="76"/>
      <c r="BE16" s="42"/>
    </row>
    <row r="17" spans="1:57" x14ac:dyDescent="0.25">
      <c r="A17" t="s">
        <v>133</v>
      </c>
      <c r="D17" s="162">
        <f>ROUND('AMT Silver Standard re 24Feb26'!D17*(1+$B$16)*(1+D$1),2)</f>
        <v>93.9</v>
      </c>
      <c r="E17" s="162">
        <f>ROUND('AMT Silver Standard re 24Feb26'!E17*(1+$B$16)*(1+E$1),2)</f>
        <v>191.54</v>
      </c>
      <c r="F17" s="81"/>
      <c r="G17" s="153">
        <f t="shared" ref="G17:H20" si="34">D17*SUM(1+$G$1/$Y$1)</f>
        <v>112.68</v>
      </c>
      <c r="H17" s="153">
        <f t="shared" si="34"/>
        <v>229.84799999999998</v>
      </c>
      <c r="I17" s="83"/>
      <c r="J17" s="155">
        <f t="shared" ref="J17:K20" si="35">G17-D17</f>
        <v>18.78</v>
      </c>
      <c r="K17" s="155">
        <f t="shared" si="35"/>
        <v>38.307999999999993</v>
      </c>
      <c r="L17" s="83"/>
      <c r="M17" s="134">
        <f>ROUND(D17*(1+$G$1*2),2)*SUM(1+$M$1)</f>
        <v>123.94800000000002</v>
      </c>
      <c r="N17" s="134">
        <f>ROUND(E17*(1+$G$1*2),2)*SUM(1+$M$1)</f>
        <v>252.83500000000001</v>
      </c>
      <c r="P17" s="134">
        <f t="shared" ref="P17:Q20" si="36">M17-D17</f>
        <v>30.048000000000016</v>
      </c>
      <c r="Q17" s="134">
        <f t="shared" si="36"/>
        <v>61.295000000000016</v>
      </c>
      <c r="S17" s="141">
        <f t="shared" ref="S17:T20" si="37">AK17/G17</f>
        <v>0.10001774937877174</v>
      </c>
      <c r="T17" s="141">
        <f t="shared" si="37"/>
        <v>0.10002262364693189</v>
      </c>
      <c r="V17" s="41">
        <f t="shared" ref="V17:W20" si="38">SUM(D17/(1-$Y$1))</f>
        <v>187.8</v>
      </c>
      <c r="W17" s="41">
        <f t="shared" si="38"/>
        <v>383.08</v>
      </c>
      <c r="Y17" s="41">
        <f>ROUND(D17/(1-$Y$1)*1.2,2)</f>
        <v>225.36</v>
      </c>
      <c r="Z17" s="41">
        <f>ROUND(E17/(1-$Y$1)*1.2,2)</f>
        <v>459.7</v>
      </c>
      <c r="AB17" s="182">
        <f t="shared" ref="AB17:AC20" si="39">ROUNDDOWN(D17/(1-$Y$1)*1.2,1)</f>
        <v>225.3</v>
      </c>
      <c r="AC17" s="182">
        <f t="shared" si="39"/>
        <v>459.6</v>
      </c>
      <c r="AE17" s="40">
        <f t="shared" ref="AE17:AF20" si="40">AB17/1.2</f>
        <v>187.75000000000003</v>
      </c>
      <c r="AF17" s="40">
        <f t="shared" si="40"/>
        <v>383.00000000000006</v>
      </c>
      <c r="AH17" s="40">
        <f t="shared" ref="AH17:AI20" si="41">Y17-AB17</f>
        <v>6.0000000000002274E-2</v>
      </c>
      <c r="AI17" s="40">
        <f t="shared" si="41"/>
        <v>9.9999999999965894E-2</v>
      </c>
      <c r="AK17" s="130">
        <f t="shared" ref="AK17:AL20" si="42">ROUND(M17*(1-(1/(1+$AL$1))),2)</f>
        <v>11.27</v>
      </c>
      <c r="AL17" s="130">
        <f t="shared" si="42"/>
        <v>22.99</v>
      </c>
      <c r="AM17" s="40"/>
      <c r="AN17" s="40">
        <f t="shared" ref="AN17:AO20" si="43">SUM(V17-G17)-AH17</f>
        <v>75.06</v>
      </c>
      <c r="AO17" s="40">
        <f t="shared" si="43"/>
        <v>153.13200000000003</v>
      </c>
      <c r="AP17" s="40"/>
      <c r="AQ17" s="144">
        <f t="shared" ref="AQ17:AR20" si="44">(SUM(G17-D17)/D17*$Y$1)</f>
        <v>0.1</v>
      </c>
      <c r="AR17" s="144">
        <f t="shared" si="44"/>
        <v>9.9999999999999992E-2</v>
      </c>
      <c r="AS17" s="40"/>
      <c r="AT17" s="146">
        <f t="shared" ref="AT17:AU20" si="45">AN17/V17</f>
        <v>0.39968051118210862</v>
      </c>
      <c r="AU17" s="146">
        <f t="shared" si="45"/>
        <v>0.39973895792001679</v>
      </c>
      <c r="AV17" s="40"/>
      <c r="AW17" s="76">
        <f t="shared" ref="AW17:AX20" si="46">D17/V17</f>
        <v>0.5</v>
      </c>
      <c r="AX17" s="76">
        <f t="shared" si="46"/>
        <v>0.5</v>
      </c>
      <c r="AY17" s="42"/>
      <c r="AZ17" s="42">
        <f t="shared" ref="AZ17:BA20" si="47">J17+AN17</f>
        <v>93.84</v>
      </c>
      <c r="BA17" s="42">
        <f t="shared" si="47"/>
        <v>191.44000000000003</v>
      </c>
      <c r="BB17" s="42"/>
      <c r="BC17" s="76">
        <f t="shared" ref="BC17:BD20" si="48">AZ17/(D17/$Y$1)</f>
        <v>0.4996805111821086</v>
      </c>
      <c r="BD17" s="76">
        <f t="shared" si="48"/>
        <v>0.49973895792001677</v>
      </c>
      <c r="BE17" s="42"/>
    </row>
    <row r="18" spans="1:57" x14ac:dyDescent="0.25">
      <c r="A18" t="s">
        <v>134</v>
      </c>
      <c r="D18" s="162">
        <f>ROUND('AMT Silver Standard re 24Feb26'!D18*(1+$B$16)*(1+D$1),2)</f>
        <v>140.86000000000001</v>
      </c>
      <c r="E18" s="162">
        <f>ROUND('AMT Silver Standard re 24Feb26'!E18*(1+$B$16)*(1+E$1),2)</f>
        <v>287.3</v>
      </c>
      <c r="F18" s="81"/>
      <c r="G18" s="153">
        <f t="shared" si="34"/>
        <v>169.03200000000001</v>
      </c>
      <c r="H18" s="153">
        <f t="shared" si="34"/>
        <v>344.76</v>
      </c>
      <c r="I18" s="83"/>
      <c r="J18" s="155">
        <f t="shared" si="35"/>
        <v>28.171999999999997</v>
      </c>
      <c r="K18" s="155">
        <f t="shared" si="35"/>
        <v>57.45999999999998</v>
      </c>
      <c r="L18" s="83"/>
      <c r="M18" s="134">
        <f t="shared" ref="M18:N20" si="49">ROUND(D18*(1+$G$1*2),2)*SUM(1+$M$1)</f>
        <v>185.93300000000002</v>
      </c>
      <c r="N18" s="134">
        <f t="shared" si="49"/>
        <v>379.23600000000005</v>
      </c>
      <c r="P18" s="134">
        <f t="shared" si="36"/>
        <v>45.073000000000008</v>
      </c>
      <c r="Q18" s="134">
        <f t="shared" si="36"/>
        <v>91.936000000000035</v>
      </c>
      <c r="S18" s="141">
        <f t="shared" si="37"/>
        <v>9.9981068673387269E-2</v>
      </c>
      <c r="T18" s="141">
        <f t="shared" si="37"/>
        <v>0.10001160227404571</v>
      </c>
      <c r="V18" s="41">
        <f t="shared" si="38"/>
        <v>281.72000000000003</v>
      </c>
      <c r="W18" s="41">
        <f t="shared" si="38"/>
        <v>574.6</v>
      </c>
      <c r="Y18" s="41">
        <f t="shared" ref="Y18:Z20" si="50">ROUND(D18/(1-$Y$1)*1.2,2)</f>
        <v>338.06</v>
      </c>
      <c r="Z18" s="41">
        <f t="shared" si="50"/>
        <v>689.52</v>
      </c>
      <c r="AB18" s="182">
        <f t="shared" si="39"/>
        <v>338</v>
      </c>
      <c r="AC18" s="182">
        <f t="shared" si="39"/>
        <v>689.5</v>
      </c>
      <c r="AE18" s="40">
        <f t="shared" si="40"/>
        <v>281.66666666666669</v>
      </c>
      <c r="AF18" s="40">
        <f t="shared" si="40"/>
        <v>574.58333333333337</v>
      </c>
      <c r="AH18" s="40">
        <f t="shared" si="41"/>
        <v>6.0000000000002274E-2</v>
      </c>
      <c r="AI18" s="40">
        <f t="shared" si="41"/>
        <v>1.999999999998181E-2</v>
      </c>
      <c r="AK18" s="130">
        <f t="shared" si="42"/>
        <v>16.899999999999999</v>
      </c>
      <c r="AL18" s="130">
        <f t="shared" si="42"/>
        <v>34.479999999999997</v>
      </c>
      <c r="AM18" s="40"/>
      <c r="AN18" s="40">
        <f t="shared" si="43"/>
        <v>112.62800000000001</v>
      </c>
      <c r="AO18" s="40">
        <f t="shared" si="43"/>
        <v>229.82000000000005</v>
      </c>
      <c r="AP18" s="40"/>
      <c r="AQ18" s="144">
        <f t="shared" si="44"/>
        <v>9.9999999999999978E-2</v>
      </c>
      <c r="AR18" s="144">
        <f t="shared" si="44"/>
        <v>9.9999999999999964E-2</v>
      </c>
      <c r="AS18" s="40"/>
      <c r="AT18" s="146">
        <f t="shared" si="45"/>
        <v>0.399787022575607</v>
      </c>
      <c r="AU18" s="146">
        <f t="shared" si="45"/>
        <v>0.39996519317786294</v>
      </c>
      <c r="AV18" s="40"/>
      <c r="AW18" s="76">
        <f t="shared" si="46"/>
        <v>0.5</v>
      </c>
      <c r="AX18" s="76">
        <f t="shared" si="46"/>
        <v>0.5</v>
      </c>
      <c r="AY18" s="42"/>
      <c r="AZ18" s="42">
        <f t="shared" si="47"/>
        <v>140.80000000000001</v>
      </c>
      <c r="BA18" s="42">
        <f t="shared" si="47"/>
        <v>287.28000000000003</v>
      </c>
      <c r="BB18" s="42"/>
      <c r="BC18" s="76">
        <f t="shared" si="48"/>
        <v>0.49978702257560698</v>
      </c>
      <c r="BD18" s="76">
        <f t="shared" si="48"/>
        <v>0.49996519317786287</v>
      </c>
      <c r="BE18" s="42"/>
    </row>
    <row r="19" spans="1:57" x14ac:dyDescent="0.25">
      <c r="A19" t="s">
        <v>135</v>
      </c>
      <c r="D19" s="162">
        <f>ROUND('AMT Silver Standard re 24Feb26'!D19*(1+$B$16)*(1+D$1),2)</f>
        <v>150.5</v>
      </c>
      <c r="E19" s="162">
        <f>ROUND('AMT Silver Standard re 24Feb26'!E19*(1+$B$16)*(1+E$1),2)</f>
        <v>312.72000000000003</v>
      </c>
      <c r="F19" s="81"/>
      <c r="G19" s="153">
        <f t="shared" si="34"/>
        <v>180.6</v>
      </c>
      <c r="H19" s="153">
        <f t="shared" si="34"/>
        <v>375.26400000000001</v>
      </c>
      <c r="J19" s="155">
        <f t="shared" si="35"/>
        <v>30.099999999999994</v>
      </c>
      <c r="K19" s="155">
        <f t="shared" si="35"/>
        <v>62.543999999999983</v>
      </c>
      <c r="M19" s="134">
        <f t="shared" si="49"/>
        <v>198.66</v>
      </c>
      <c r="N19" s="134">
        <f t="shared" si="49"/>
        <v>412.786</v>
      </c>
      <c r="P19" s="134">
        <f t="shared" si="36"/>
        <v>48.16</v>
      </c>
      <c r="Q19" s="134">
        <f t="shared" si="36"/>
        <v>100.06599999999997</v>
      </c>
      <c r="S19" s="141">
        <f t="shared" si="37"/>
        <v>9.9999999999999992E-2</v>
      </c>
      <c r="T19" s="141">
        <f t="shared" si="37"/>
        <v>0.10000959324635457</v>
      </c>
      <c r="V19" s="41">
        <f t="shared" si="38"/>
        <v>301</v>
      </c>
      <c r="W19" s="41">
        <f t="shared" si="38"/>
        <v>625.44000000000005</v>
      </c>
      <c r="Y19" s="41">
        <f t="shared" si="50"/>
        <v>361.2</v>
      </c>
      <c r="Z19" s="41">
        <f t="shared" si="50"/>
        <v>750.53</v>
      </c>
      <c r="AB19" s="182">
        <f t="shared" si="39"/>
        <v>361.2</v>
      </c>
      <c r="AC19" s="182">
        <f t="shared" si="39"/>
        <v>750.5</v>
      </c>
      <c r="AE19" s="40">
        <f t="shared" si="40"/>
        <v>301</v>
      </c>
      <c r="AF19" s="40">
        <f t="shared" si="40"/>
        <v>625.41666666666674</v>
      </c>
      <c r="AH19" s="40">
        <f t="shared" si="41"/>
        <v>0</v>
      </c>
      <c r="AI19" s="40">
        <f t="shared" si="41"/>
        <v>2.9999999999972715E-2</v>
      </c>
      <c r="AK19" s="130">
        <f t="shared" si="42"/>
        <v>18.059999999999999</v>
      </c>
      <c r="AL19" s="130">
        <f t="shared" si="42"/>
        <v>37.53</v>
      </c>
      <c r="AM19" s="40"/>
      <c r="AN19" s="40">
        <f t="shared" si="43"/>
        <v>120.4</v>
      </c>
      <c r="AO19" s="40">
        <f t="shared" si="43"/>
        <v>250.14600000000007</v>
      </c>
      <c r="AP19" s="40"/>
      <c r="AQ19" s="144">
        <f t="shared" si="44"/>
        <v>9.9999999999999978E-2</v>
      </c>
      <c r="AR19" s="144">
        <f t="shared" si="44"/>
        <v>9.9999999999999964E-2</v>
      </c>
      <c r="AS19" s="40"/>
      <c r="AT19" s="146">
        <f t="shared" si="45"/>
        <v>0.4</v>
      </c>
      <c r="AU19" s="146">
        <f t="shared" si="45"/>
        <v>0.39995203376822724</v>
      </c>
      <c r="AV19" s="40"/>
      <c r="AW19" s="76">
        <f t="shared" si="46"/>
        <v>0.5</v>
      </c>
      <c r="AX19" s="76">
        <f t="shared" si="46"/>
        <v>0.5</v>
      </c>
      <c r="AY19" s="42"/>
      <c r="AZ19" s="42">
        <f t="shared" si="47"/>
        <v>150.5</v>
      </c>
      <c r="BA19" s="42">
        <f t="shared" si="47"/>
        <v>312.69000000000005</v>
      </c>
      <c r="BB19" s="42"/>
      <c r="BC19" s="76">
        <f t="shared" si="48"/>
        <v>0.5</v>
      </c>
      <c r="BD19" s="76">
        <f t="shared" si="48"/>
        <v>0.49995203376822722</v>
      </c>
      <c r="BE19" s="42"/>
    </row>
    <row r="20" spans="1:57" x14ac:dyDescent="0.25">
      <c r="A20" t="s">
        <v>136</v>
      </c>
      <c r="D20" s="162">
        <f>ROUND('AMT Silver Standard re 24Feb26'!D20*(1+$B$16)*(1+D$1),2)</f>
        <v>163.38</v>
      </c>
      <c r="E20" s="162">
        <f>ROUND('AMT Silver Standard re 24Feb26'!E20*(1+$B$16)*(1+E$1),2)</f>
        <v>335.33</v>
      </c>
      <c r="F20" s="81"/>
      <c r="G20" s="153">
        <f t="shared" si="34"/>
        <v>196.05599999999998</v>
      </c>
      <c r="H20" s="153">
        <f t="shared" si="34"/>
        <v>402.39599999999996</v>
      </c>
      <c r="J20" s="155">
        <f t="shared" si="35"/>
        <v>32.675999999999988</v>
      </c>
      <c r="K20" s="155">
        <f t="shared" si="35"/>
        <v>67.065999999999974</v>
      </c>
      <c r="M20" s="134">
        <f t="shared" si="49"/>
        <v>215.66600000000003</v>
      </c>
      <c r="N20" s="134">
        <f t="shared" si="49"/>
        <v>442.64</v>
      </c>
      <c r="P20" s="134">
        <f t="shared" si="36"/>
        <v>52.28600000000003</v>
      </c>
      <c r="Q20" s="134">
        <f t="shared" si="36"/>
        <v>107.31</v>
      </c>
      <c r="S20" s="141">
        <f t="shared" si="37"/>
        <v>0.10002244256742972</v>
      </c>
      <c r="T20" s="141">
        <f t="shared" si="37"/>
        <v>0.10000099404566647</v>
      </c>
      <c r="V20" s="41">
        <f t="shared" si="38"/>
        <v>326.76</v>
      </c>
      <c r="W20" s="41">
        <f t="shared" si="38"/>
        <v>670.66</v>
      </c>
      <c r="Y20" s="41">
        <f t="shared" si="50"/>
        <v>392.11</v>
      </c>
      <c r="Z20" s="41">
        <f t="shared" si="50"/>
        <v>804.79</v>
      </c>
      <c r="AB20" s="182">
        <f t="shared" si="39"/>
        <v>392.1</v>
      </c>
      <c r="AC20" s="182">
        <f t="shared" si="39"/>
        <v>804.7</v>
      </c>
      <c r="AE20" s="40">
        <f t="shared" si="40"/>
        <v>326.75000000000006</v>
      </c>
      <c r="AF20" s="40">
        <f t="shared" si="40"/>
        <v>670.58333333333337</v>
      </c>
      <c r="AH20" s="40">
        <f t="shared" si="41"/>
        <v>9.9999999999909051E-3</v>
      </c>
      <c r="AI20" s="40">
        <f t="shared" si="41"/>
        <v>8.9999999999918145E-2</v>
      </c>
      <c r="AK20" s="130">
        <f t="shared" si="42"/>
        <v>19.61</v>
      </c>
      <c r="AL20" s="130">
        <f t="shared" si="42"/>
        <v>40.24</v>
      </c>
      <c r="AM20" s="40"/>
      <c r="AN20" s="40">
        <f t="shared" si="43"/>
        <v>130.69400000000002</v>
      </c>
      <c r="AO20" s="40">
        <f t="shared" si="43"/>
        <v>268.17400000000009</v>
      </c>
      <c r="AP20" s="40"/>
      <c r="AQ20" s="144">
        <f t="shared" si="44"/>
        <v>9.9999999999999964E-2</v>
      </c>
      <c r="AR20" s="144">
        <f t="shared" si="44"/>
        <v>9.9999999999999964E-2</v>
      </c>
      <c r="AS20" s="40"/>
      <c r="AT20" s="146">
        <f t="shared" si="45"/>
        <v>0.39996939649895952</v>
      </c>
      <c r="AU20" s="146">
        <f t="shared" si="45"/>
        <v>0.39986580383502834</v>
      </c>
      <c r="AV20" s="40"/>
      <c r="AW20" s="76">
        <f t="shared" si="46"/>
        <v>0.5</v>
      </c>
      <c r="AX20" s="76">
        <f t="shared" si="46"/>
        <v>0.5</v>
      </c>
      <c r="AY20" s="42"/>
      <c r="AZ20" s="42">
        <f t="shared" si="47"/>
        <v>163.37</v>
      </c>
      <c r="BA20" s="42">
        <f t="shared" si="47"/>
        <v>335.24000000000007</v>
      </c>
      <c r="BB20" s="42"/>
      <c r="BC20" s="76">
        <f t="shared" si="48"/>
        <v>0.4999693964989595</v>
      </c>
      <c r="BD20" s="76">
        <f t="shared" si="48"/>
        <v>0.49986580383502832</v>
      </c>
      <c r="BE20" s="42"/>
    </row>
    <row r="21" spans="1:57" x14ac:dyDescent="0.25">
      <c r="C21" s="104"/>
      <c r="D21" s="104"/>
      <c r="H21" s="40"/>
      <c r="I21" s="75"/>
      <c r="J21" s="75"/>
      <c r="K21" s="75"/>
      <c r="L21" s="75"/>
      <c r="V21" s="40"/>
      <c r="X21" s="41"/>
      <c r="Y21" s="40"/>
      <c r="Z21" s="40"/>
      <c r="AK21" s="76"/>
      <c r="AL21" s="76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76"/>
      <c r="AX21" s="76"/>
      <c r="AY21" s="42"/>
      <c r="AZ21" s="42"/>
      <c r="BA21" s="42"/>
      <c r="BB21" s="42"/>
      <c r="BC21" s="76"/>
      <c r="BD21" s="76"/>
      <c r="BE21" s="40"/>
    </row>
    <row r="22" spans="1:57" x14ac:dyDescent="0.25">
      <c r="A22" s="4" t="s">
        <v>139</v>
      </c>
      <c r="X22" s="41"/>
      <c r="Y22" s="40"/>
      <c r="Z22" s="40"/>
      <c r="AK22" s="76"/>
      <c r="AL22" s="76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76"/>
      <c r="AX22" s="76"/>
      <c r="AY22" s="42"/>
      <c r="AZ22" s="42"/>
      <c r="BA22" s="42"/>
      <c r="BB22" s="42"/>
      <c r="BC22" s="76"/>
      <c r="BD22" s="76"/>
      <c r="BE22" s="40"/>
    </row>
    <row r="23" spans="1:57" x14ac:dyDescent="0.25">
      <c r="A23" s="53"/>
      <c r="X23" s="41"/>
      <c r="Y23" s="40"/>
      <c r="Z23" s="40"/>
      <c r="AK23" s="76"/>
      <c r="AL23" s="76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76"/>
      <c r="AX23" s="76"/>
      <c r="AY23" s="42"/>
      <c r="AZ23" s="42"/>
      <c r="BA23" s="42"/>
      <c r="BB23" s="42"/>
      <c r="BC23" s="76"/>
      <c r="BD23" s="76"/>
      <c r="BE23" s="40"/>
    </row>
    <row r="24" spans="1:57" x14ac:dyDescent="0.25">
      <c r="A24" s="100" t="s">
        <v>132</v>
      </c>
      <c r="B24" s="52" t="s">
        <v>140</v>
      </c>
      <c r="D24" s="202" t="s">
        <v>141</v>
      </c>
      <c r="E24" s="202"/>
      <c r="F24" s="202"/>
      <c r="G24" s="202"/>
      <c r="H24" s="202"/>
    </row>
    <row r="25" spans="1:57" x14ac:dyDescent="0.25">
      <c r="A25" s="100" t="s">
        <v>137</v>
      </c>
      <c r="B25" s="52" t="s">
        <v>140</v>
      </c>
      <c r="F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</row>
    <row r="26" spans="1:57" x14ac:dyDescent="0.25">
      <c r="A26" s="100" t="s">
        <v>142</v>
      </c>
      <c r="B26" s="52" t="s">
        <v>140</v>
      </c>
      <c r="F26" s="40"/>
      <c r="G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</row>
    <row r="27" spans="1:57" x14ac:dyDescent="0.25">
      <c r="F27" s="40"/>
      <c r="G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</row>
    <row r="28" spans="1:57" ht="30" x14ac:dyDescent="0.25">
      <c r="A28" s="99" t="s">
        <v>143</v>
      </c>
      <c r="B28" s="52" t="s">
        <v>144</v>
      </c>
      <c r="F28" s="40"/>
      <c r="G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</row>
    <row r="29" spans="1:57" x14ac:dyDescent="0.25">
      <c r="G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</row>
    <row r="30" spans="1:57" ht="45" customHeight="1" x14ac:dyDescent="0.25">
      <c r="A30" s="159" t="s">
        <v>145</v>
      </c>
      <c r="B30" s="246" t="s">
        <v>146</v>
      </c>
      <c r="C30" s="246"/>
      <c r="D30" s="246"/>
      <c r="E30" s="246"/>
      <c r="F30" s="99"/>
      <c r="AA30" s="40"/>
      <c r="AB30" s="40"/>
      <c r="AC30" s="40"/>
      <c r="AD30" s="40"/>
      <c r="AE30" s="40"/>
      <c r="AF30" s="40"/>
      <c r="AG30" s="40"/>
      <c r="AH30" s="40"/>
      <c r="AI30" s="40"/>
      <c r="AJ30" s="40"/>
    </row>
    <row r="31" spans="1:57" ht="45" customHeight="1" x14ac:dyDescent="0.25">
      <c r="A31" s="159" t="s">
        <v>147</v>
      </c>
      <c r="B31" s="246" t="s">
        <v>148</v>
      </c>
      <c r="C31" s="246"/>
      <c r="D31" s="246"/>
      <c r="E31" s="246"/>
      <c r="F31" s="246"/>
      <c r="AA31" s="40"/>
      <c r="AB31" s="40"/>
      <c r="AC31" s="40"/>
      <c r="AD31" s="40"/>
      <c r="AE31" s="40"/>
      <c r="AF31" s="40"/>
      <c r="AG31" s="40"/>
      <c r="AH31" s="40"/>
      <c r="AI31" s="40"/>
      <c r="AJ31" s="40"/>
    </row>
    <row r="32" spans="1:57" x14ac:dyDescent="0.25"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</row>
    <row r="33" spans="1:57" x14ac:dyDescent="0.25">
      <c r="A33" s="100" t="s">
        <v>149</v>
      </c>
      <c r="B33" s="101" t="s">
        <v>150</v>
      </c>
      <c r="C33" s="52"/>
      <c r="AA33" s="40"/>
      <c r="AB33" s="40"/>
      <c r="AC33" s="40"/>
      <c r="AD33" s="40"/>
      <c r="AE33" s="40"/>
      <c r="AF33" s="40"/>
      <c r="AG33" s="40"/>
      <c r="AH33" s="40"/>
      <c r="AI33" s="40"/>
      <c r="AJ33" s="40"/>
    </row>
    <row r="34" spans="1:57" x14ac:dyDescent="0.25">
      <c r="A34" s="100" t="s">
        <v>151</v>
      </c>
      <c r="B34" s="101" t="s">
        <v>152</v>
      </c>
      <c r="C34" s="52"/>
    </row>
    <row r="35" spans="1:57" x14ac:dyDescent="0.25">
      <c r="A35" s="100" t="s">
        <v>153</v>
      </c>
      <c r="B35" s="101" t="s">
        <v>154</v>
      </c>
      <c r="C35" s="52"/>
    </row>
    <row r="36" spans="1:57" s="96" customFormat="1" ht="45" customHeight="1" x14ac:dyDescent="0.25">
      <c r="D36" s="244" t="s">
        <v>128</v>
      </c>
      <c r="E36" s="244"/>
      <c r="F36" s="95"/>
      <c r="G36" s="245" t="s">
        <v>3</v>
      </c>
      <c r="H36" s="245"/>
      <c r="I36" s="18"/>
      <c r="J36" s="245" t="s">
        <v>4</v>
      </c>
      <c r="K36" s="245"/>
      <c r="L36" s="18"/>
      <c r="M36" s="219" t="s">
        <v>5</v>
      </c>
      <c r="N36" s="219"/>
      <c r="O36" s="18"/>
      <c r="P36" s="219" t="s">
        <v>6</v>
      </c>
      <c r="Q36" s="219"/>
      <c r="R36" s="18"/>
      <c r="S36" s="219" t="s">
        <v>7</v>
      </c>
      <c r="T36" s="219"/>
      <c r="U36" s="18"/>
      <c r="V36" s="214" t="s">
        <v>8</v>
      </c>
      <c r="W36" s="214"/>
      <c r="X36" s="52"/>
      <c r="Y36" s="211" t="s">
        <v>9</v>
      </c>
      <c r="Z36" s="211"/>
      <c r="AA36" s="1"/>
      <c r="AB36" s="215" t="s">
        <v>10</v>
      </c>
      <c r="AC36" s="215"/>
      <c r="AD36" s="1"/>
      <c r="AE36" s="211" t="s">
        <v>11</v>
      </c>
      <c r="AF36" s="211"/>
      <c r="AG36" s="1"/>
      <c r="AH36" s="211" t="s">
        <v>12</v>
      </c>
      <c r="AI36" s="211"/>
      <c r="AJ36" s="1"/>
      <c r="AK36" s="211" t="s">
        <v>13</v>
      </c>
      <c r="AL36" s="211"/>
      <c r="AM36" s="1"/>
      <c r="AN36" s="211" t="s">
        <v>14</v>
      </c>
      <c r="AO36" s="211"/>
      <c r="AP36" s="1"/>
      <c r="AQ36" s="212" t="s">
        <v>15</v>
      </c>
      <c r="AR36" s="212"/>
      <c r="AS36" s="1"/>
      <c r="AT36" s="211" t="s">
        <v>16</v>
      </c>
      <c r="AU36" s="211"/>
      <c r="AV36" s="1"/>
      <c r="AW36" s="213" t="s">
        <v>17</v>
      </c>
      <c r="AX36" s="213"/>
      <c r="AY36" s="1"/>
      <c r="AZ36" s="213" t="s">
        <v>18</v>
      </c>
      <c r="BA36" s="213"/>
      <c r="BB36" s="1"/>
      <c r="BC36" s="213" t="s">
        <v>129</v>
      </c>
      <c r="BD36" s="213"/>
      <c r="BE36" s="1"/>
    </row>
    <row r="37" spans="1:57" s="96" customFormat="1" ht="45" customHeight="1" x14ac:dyDescent="0.25">
      <c r="D37" s="195" t="s">
        <v>130</v>
      </c>
      <c r="E37" s="147" t="s">
        <v>131</v>
      </c>
      <c r="F37" s="35"/>
      <c r="G37" s="151" t="s">
        <v>130</v>
      </c>
      <c r="H37" s="152" t="s">
        <v>131</v>
      </c>
      <c r="I37" s="52"/>
      <c r="J37" s="151" t="s">
        <v>130</v>
      </c>
      <c r="K37" s="152" t="s">
        <v>131</v>
      </c>
      <c r="L37" s="52"/>
      <c r="M37" s="132" t="s">
        <v>130</v>
      </c>
      <c r="N37" s="133" t="s">
        <v>131</v>
      </c>
      <c r="O37" s="52"/>
      <c r="P37" s="132" t="s">
        <v>130</v>
      </c>
      <c r="Q37" s="133" t="s">
        <v>131</v>
      </c>
      <c r="R37" s="52"/>
      <c r="S37" s="132" t="s">
        <v>130</v>
      </c>
      <c r="T37" s="133" t="s">
        <v>131</v>
      </c>
      <c r="U37" s="52"/>
      <c r="V37" s="96" t="s">
        <v>130</v>
      </c>
      <c r="W37" s="95" t="s">
        <v>131</v>
      </c>
      <c r="X37" s="52"/>
      <c r="Y37" s="96" t="s">
        <v>130</v>
      </c>
      <c r="Z37" s="95" t="s">
        <v>131</v>
      </c>
      <c r="AA37" s="52"/>
      <c r="AB37" s="96" t="s">
        <v>130</v>
      </c>
      <c r="AC37" s="95" t="s">
        <v>131</v>
      </c>
      <c r="AD37" s="52"/>
      <c r="AE37" s="96" t="s">
        <v>130</v>
      </c>
      <c r="AF37" s="95" t="s">
        <v>131</v>
      </c>
      <c r="AG37" s="34"/>
      <c r="AH37" s="96" t="s">
        <v>130</v>
      </c>
      <c r="AI37" s="95" t="s">
        <v>131</v>
      </c>
      <c r="AJ37" s="52"/>
      <c r="AK37" s="128" t="s">
        <v>130</v>
      </c>
      <c r="AL37" s="129" t="s">
        <v>131</v>
      </c>
      <c r="AM37" s="52"/>
      <c r="AN37" s="96" t="s">
        <v>130</v>
      </c>
      <c r="AO37" s="95" t="s">
        <v>131</v>
      </c>
      <c r="AP37" s="52"/>
      <c r="AQ37" s="196" t="s">
        <v>130</v>
      </c>
      <c r="AR37" s="142" t="s">
        <v>131</v>
      </c>
      <c r="AS37" s="52"/>
      <c r="AT37" s="197" t="s">
        <v>130</v>
      </c>
      <c r="AU37" s="129" t="s">
        <v>131</v>
      </c>
      <c r="AV37" s="52"/>
      <c r="AW37" s="96" t="s">
        <v>130</v>
      </c>
      <c r="AX37" s="95" t="s">
        <v>131</v>
      </c>
      <c r="AY37" s="52"/>
      <c r="AZ37" s="96" t="s">
        <v>130</v>
      </c>
      <c r="BA37" s="95" t="s">
        <v>131</v>
      </c>
      <c r="BB37" s="52"/>
      <c r="BC37" s="139" t="s">
        <v>130</v>
      </c>
      <c r="BD37" s="95" t="s">
        <v>131</v>
      </c>
      <c r="BE37" s="1"/>
    </row>
    <row r="38" spans="1:57" x14ac:dyDescent="0.25">
      <c r="B38" s="45"/>
      <c r="D38" s="149"/>
      <c r="E38" s="149"/>
      <c r="F38" s="81"/>
      <c r="G38" s="153"/>
      <c r="H38" s="153"/>
      <c r="J38" s="155"/>
      <c r="K38" s="155"/>
      <c r="L38" s="41"/>
      <c r="M38" s="161"/>
      <c r="N38" s="161"/>
      <c r="P38" s="134"/>
      <c r="Q38" s="134"/>
      <c r="S38" s="141"/>
      <c r="T38" s="141"/>
      <c r="V38" s="41"/>
      <c r="W38" s="41"/>
      <c r="Y38" s="41"/>
      <c r="Z38" s="41"/>
      <c r="AB38" s="182"/>
      <c r="AC38" s="182"/>
      <c r="AE38" s="40"/>
      <c r="AF38" s="40"/>
      <c r="AH38" s="40"/>
      <c r="AI38" s="40"/>
      <c r="AK38" s="130"/>
      <c r="AL38" s="130"/>
      <c r="AM38" s="40"/>
      <c r="AN38" s="40"/>
      <c r="AO38" s="40"/>
      <c r="AP38" s="40"/>
      <c r="AQ38" s="144"/>
      <c r="AR38" s="144"/>
      <c r="AS38" s="40"/>
      <c r="AT38" s="146"/>
      <c r="AU38" s="146"/>
      <c r="AV38" s="40"/>
      <c r="AW38" s="76"/>
      <c r="AX38" s="76"/>
      <c r="AY38" s="42"/>
      <c r="AZ38" s="42"/>
      <c r="BA38" s="42"/>
      <c r="BB38" s="42"/>
      <c r="BC38" s="76"/>
      <c r="BD38" s="76"/>
      <c r="BE38" s="42"/>
    </row>
    <row r="39" spans="1:57" ht="39.950000000000003" customHeight="1" x14ac:dyDescent="0.25">
      <c r="A39" s="247" t="s">
        <v>63</v>
      </c>
      <c r="B39" s="247"/>
      <c r="C39" s="247"/>
      <c r="D39" s="162">
        <v>15</v>
      </c>
      <c r="E39" s="162">
        <v>15</v>
      </c>
      <c r="F39" s="81"/>
      <c r="G39" s="153">
        <f>D39*SUM(1+$G$1/$Y$1)</f>
        <v>18</v>
      </c>
      <c r="H39" s="153">
        <f>E39*SUM(1+$G$1/$Y$1)</f>
        <v>18</v>
      </c>
      <c r="J39" s="155">
        <f t="shared" ref="J39:K39" si="51">G39-D39</f>
        <v>3</v>
      </c>
      <c r="K39" s="155">
        <f t="shared" si="51"/>
        <v>3</v>
      </c>
      <c r="L39" s="41"/>
      <c r="M39" s="161">
        <f t="shared" ref="M39:N39" si="52">ROUND(D39*(1+$G$1*2),2)*SUM(1+$M$1)</f>
        <v>19.8</v>
      </c>
      <c r="N39" s="161">
        <f t="shared" si="52"/>
        <v>19.8</v>
      </c>
      <c r="P39" s="134">
        <f t="shared" ref="P39:Q39" si="53">M39-D39</f>
        <v>4.8000000000000007</v>
      </c>
      <c r="Q39" s="134">
        <f t="shared" si="53"/>
        <v>4.8000000000000007</v>
      </c>
      <c r="S39" s="141">
        <f>AK39/G39</f>
        <v>0.1</v>
      </c>
      <c r="T39" s="141">
        <f>AL39/H39</f>
        <v>0.1</v>
      </c>
      <c r="V39" s="41">
        <f>SUM(D39/(1-$Y$1))</f>
        <v>30</v>
      </c>
      <c r="W39" s="41">
        <f>SUM(E39/(1-$Y$1))</f>
        <v>30</v>
      </c>
      <c r="Y39" s="41">
        <f t="shared" ref="Y39:Z39" si="54">ROUND(D39/(1-$Y$1)*1.2,2)</f>
        <v>36</v>
      </c>
      <c r="Z39" s="41">
        <f t="shared" si="54"/>
        <v>36</v>
      </c>
      <c r="AB39" s="182">
        <f t="shared" ref="AB39:AC39" si="55">ROUNDDOWN(D39/(1-$Y$1)*1.2,1)</f>
        <v>36</v>
      </c>
      <c r="AC39" s="182">
        <f t="shared" si="55"/>
        <v>36</v>
      </c>
      <c r="AE39" s="40">
        <f t="shared" ref="AE39:AF39" si="56">AB39/1.2</f>
        <v>30</v>
      </c>
      <c r="AF39" s="40">
        <f t="shared" si="56"/>
        <v>30</v>
      </c>
      <c r="AH39" s="40">
        <f t="shared" ref="AH39:AI39" si="57">Y39-AB39</f>
        <v>0</v>
      </c>
      <c r="AI39" s="40">
        <f t="shared" si="57"/>
        <v>0</v>
      </c>
      <c r="AK39" s="130">
        <f t="shared" ref="AK39" si="58">ROUND(M39*(1-(1/(1+$AL$1))),2)</f>
        <v>1.8</v>
      </c>
      <c r="AL39" s="130">
        <f>ROUND(N39*(1-(1/(1+$AL$1))),2)</f>
        <v>1.8</v>
      </c>
      <c r="AM39" s="40"/>
      <c r="AN39" s="40">
        <f t="shared" ref="AN39:AO39" si="59">SUM(V39-G39)-AH39</f>
        <v>12</v>
      </c>
      <c r="AO39" s="40">
        <f t="shared" si="59"/>
        <v>12</v>
      </c>
      <c r="AP39" s="40"/>
      <c r="AQ39" s="144">
        <f>(SUM(G39-D39)/D39*$Y$1)</f>
        <v>0.1</v>
      </c>
      <c r="AR39" s="144">
        <f>(SUM(H39-E39)/E39*$Y$1)</f>
        <v>0.1</v>
      </c>
      <c r="AS39" s="40"/>
      <c r="AT39" s="146">
        <f>AN39/V39</f>
        <v>0.4</v>
      </c>
      <c r="AU39" s="146">
        <f>AO39/W39</f>
        <v>0.4</v>
      </c>
      <c r="AV39" s="40"/>
      <c r="AW39" s="76">
        <f>D39/V39</f>
        <v>0.5</v>
      </c>
      <c r="AX39" s="76">
        <f>E39/W39</f>
        <v>0.5</v>
      </c>
      <c r="AY39" s="42"/>
      <c r="AZ39" s="42">
        <f>J39+AN39</f>
        <v>15</v>
      </c>
      <c r="BA39" s="42">
        <f>K39+AO39</f>
        <v>15</v>
      </c>
      <c r="BB39" s="42"/>
      <c r="BC39" s="76">
        <f>AZ39/(D39/$Y$1)</f>
        <v>0.5</v>
      </c>
      <c r="BD39" s="76">
        <f>BA39/(E39/$Y$1)</f>
        <v>0.5</v>
      </c>
      <c r="BE39" s="42"/>
    </row>
    <row r="40" spans="1:57" x14ac:dyDescent="0.25">
      <c r="A40" s="52"/>
      <c r="B40" s="52"/>
      <c r="C40" s="98"/>
      <c r="D40" s="52"/>
      <c r="E40" s="52"/>
      <c r="F40" s="40"/>
    </row>
    <row r="41" spans="1:57" x14ac:dyDescent="0.25">
      <c r="A41" s="45" t="s">
        <v>64</v>
      </c>
      <c r="B41" s="45" t="s">
        <v>65</v>
      </c>
      <c r="C41" s="45" t="s">
        <v>66</v>
      </c>
    </row>
    <row r="42" spans="1:57" s="122" customFormat="1" ht="30" customHeight="1" x14ac:dyDescent="0.25">
      <c r="A42" s="120"/>
      <c r="B42" s="121" t="s">
        <v>67</v>
      </c>
      <c r="C42" s="248" t="s">
        <v>68</v>
      </c>
      <c r="D42" s="248"/>
      <c r="E42" s="248"/>
      <c r="F42" s="248"/>
      <c r="G42" s="248"/>
      <c r="H42" s="248"/>
      <c r="I42" s="248"/>
      <c r="J42" s="248"/>
      <c r="K42" s="248"/>
      <c r="L42" s="248"/>
      <c r="M42" s="248"/>
    </row>
    <row r="43" spans="1:57" s="122" customFormat="1" ht="30" customHeight="1" x14ac:dyDescent="0.25">
      <c r="A43" s="120"/>
      <c r="B43" s="121"/>
      <c r="C43" s="248"/>
      <c r="D43" s="248"/>
      <c r="E43" s="248"/>
      <c r="F43" s="248"/>
      <c r="G43" s="248"/>
      <c r="H43" s="248"/>
      <c r="I43" s="248"/>
      <c r="J43" s="248"/>
      <c r="K43" s="248"/>
      <c r="L43" s="248"/>
      <c r="M43" s="248"/>
    </row>
    <row r="44" spans="1:57" x14ac:dyDescent="0.25">
      <c r="B44" s="45" t="s">
        <v>69</v>
      </c>
      <c r="C44" s="45" t="s">
        <v>70</v>
      </c>
      <c r="G44" s="40"/>
    </row>
    <row r="45" spans="1:57" x14ac:dyDescent="0.25">
      <c r="B45" s="45" t="s">
        <v>71</v>
      </c>
      <c r="C45" s="45" t="s">
        <v>72</v>
      </c>
      <c r="G45" s="40"/>
    </row>
    <row r="46" spans="1:57" x14ac:dyDescent="0.25">
      <c r="A46" s="52"/>
      <c r="B46" s="52"/>
      <c r="C46" s="98"/>
      <c r="D46" s="52"/>
      <c r="E46" s="52"/>
      <c r="F46" s="40"/>
    </row>
    <row r="47" spans="1:57" x14ac:dyDescent="0.25">
      <c r="A47" s="46" t="s">
        <v>73</v>
      </c>
      <c r="B47" s="1" t="s">
        <v>74</v>
      </c>
      <c r="C47" s="46" t="s">
        <v>75</v>
      </c>
      <c r="D47" s="25"/>
      <c r="F47" s="47"/>
    </row>
    <row r="48" spans="1:57" x14ac:dyDescent="0.25">
      <c r="A48" s="25"/>
      <c r="B48" s="1" t="s">
        <v>76</v>
      </c>
      <c r="C48" s="47" t="s">
        <v>77</v>
      </c>
      <c r="D48" s="25"/>
      <c r="F48" s="47"/>
    </row>
    <row r="49" spans="1:12" x14ac:dyDescent="0.25">
      <c r="A49" s="25"/>
      <c r="B49" s="1" t="s">
        <v>78</v>
      </c>
      <c r="C49" s="47" t="s">
        <v>79</v>
      </c>
      <c r="D49" s="25"/>
      <c r="F49" s="47"/>
    </row>
    <row r="50" spans="1:12" x14ac:dyDescent="0.25">
      <c r="A50" s="25"/>
      <c r="B50" s="1" t="s">
        <v>80</v>
      </c>
      <c r="C50" s="47" t="s">
        <v>81</v>
      </c>
      <c r="D50" s="25"/>
      <c r="F50" s="47"/>
    </row>
    <row r="51" spans="1:12" x14ac:dyDescent="0.25">
      <c r="F51" s="52"/>
      <c r="G51" s="52"/>
      <c r="H51" s="52"/>
      <c r="I51" s="52"/>
      <c r="J51" s="52"/>
      <c r="K51" s="52"/>
      <c r="L51" s="52"/>
    </row>
    <row r="52" spans="1:12" x14ac:dyDescent="0.25">
      <c r="A52" s="1" t="s">
        <v>82</v>
      </c>
      <c r="C52" s="1" t="s">
        <v>83</v>
      </c>
      <c r="F52" s="99"/>
      <c r="G52" s="99"/>
      <c r="H52" s="99"/>
      <c r="I52" s="99"/>
      <c r="J52" s="99"/>
      <c r="K52" s="99"/>
      <c r="L52" s="99"/>
    </row>
    <row r="53" spans="1:12" x14ac:dyDescent="0.25">
      <c r="A53" s="99"/>
      <c r="F53" s="99"/>
      <c r="G53" s="99"/>
      <c r="H53" s="99"/>
      <c r="I53" s="99"/>
      <c r="J53" s="99"/>
      <c r="K53" s="99"/>
      <c r="L53" s="99"/>
    </row>
    <row r="54" spans="1:12" x14ac:dyDescent="0.25">
      <c r="A54" s="52" t="s">
        <v>84</v>
      </c>
      <c r="B54" s="52"/>
      <c r="C54" s="52"/>
      <c r="D54" s="52"/>
      <c r="E54" s="52"/>
      <c r="F54" s="99"/>
      <c r="G54" s="99"/>
      <c r="H54" s="99"/>
      <c r="I54" s="99"/>
      <c r="J54" s="99"/>
      <c r="K54" s="99"/>
      <c r="L54" s="99"/>
    </row>
  </sheetData>
  <mergeCells count="40">
    <mergeCell ref="D2:E2"/>
    <mergeCell ref="G2:H2"/>
    <mergeCell ref="J2:K2"/>
    <mergeCell ref="M2:N2"/>
    <mergeCell ref="P2:Q2"/>
    <mergeCell ref="AZ2:BA2"/>
    <mergeCell ref="BC2:BD2"/>
    <mergeCell ref="V2:W2"/>
    <mergeCell ref="Y2:Z2"/>
    <mergeCell ref="AB2:AC2"/>
    <mergeCell ref="AE2:AF2"/>
    <mergeCell ref="AH2:AI2"/>
    <mergeCell ref="AK2:AL2"/>
    <mergeCell ref="M36:N36"/>
    <mergeCell ref="AN2:AO2"/>
    <mergeCell ref="AQ2:AR2"/>
    <mergeCell ref="AT2:AU2"/>
    <mergeCell ref="AW2:AX2"/>
    <mergeCell ref="S2:T2"/>
    <mergeCell ref="B30:E30"/>
    <mergeCell ref="B31:F31"/>
    <mergeCell ref="D36:E36"/>
    <mergeCell ref="G36:H36"/>
    <mergeCell ref="J36:K36"/>
    <mergeCell ref="AZ36:BA36"/>
    <mergeCell ref="BC36:BD36"/>
    <mergeCell ref="A39:C39"/>
    <mergeCell ref="C42:M43"/>
    <mergeCell ref="AH36:AI36"/>
    <mergeCell ref="AK36:AL36"/>
    <mergeCell ref="AN36:AO36"/>
    <mergeCell ref="AQ36:AR36"/>
    <mergeCell ref="AT36:AU36"/>
    <mergeCell ref="AW36:AX36"/>
    <mergeCell ref="P36:Q36"/>
    <mergeCell ref="S36:T36"/>
    <mergeCell ref="V36:W36"/>
    <mergeCell ref="Y36:Z36"/>
    <mergeCell ref="AB36:AC36"/>
    <mergeCell ref="AE36:AF3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DEC52-9AA6-4455-B147-F96E20A31971}">
  <sheetPr>
    <tabColor theme="0" tint="-0.14999847407452621"/>
  </sheetPr>
  <dimension ref="A1:BE54"/>
  <sheetViews>
    <sheetView zoomScale="85" zoomScaleNormal="8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2" sqref="A2"/>
    </sheetView>
  </sheetViews>
  <sheetFormatPr defaultColWidth="8.85546875" defaultRowHeight="15" x14ac:dyDescent="0.25"/>
  <cols>
    <col min="1" max="1" width="27" style="1" customWidth="1"/>
    <col min="2" max="2" width="8.85546875" style="1" customWidth="1"/>
    <col min="3" max="3" width="32.140625" style="1" customWidth="1"/>
    <col min="4" max="5" width="10" style="1" customWidth="1"/>
    <col min="6" max="6" width="3.7109375" style="1" customWidth="1"/>
    <col min="7" max="8" width="9.7109375" style="1" customWidth="1"/>
    <col min="9" max="9" width="3.7109375" style="1" customWidth="1"/>
    <col min="10" max="11" width="9.7109375" style="1" customWidth="1"/>
    <col min="12" max="12" width="3.7109375" style="1" customWidth="1"/>
    <col min="13" max="13" width="13" style="1" customWidth="1"/>
    <col min="14" max="14" width="11.85546875" style="1" bestFit="1" customWidth="1"/>
    <col min="15" max="15" width="3.7109375" style="1" customWidth="1"/>
    <col min="16" max="17" width="9.7109375" style="1" customWidth="1"/>
    <col min="18" max="18" width="3.7109375" style="1" customWidth="1"/>
    <col min="19" max="20" width="9.7109375" style="1" customWidth="1"/>
    <col min="21" max="21" width="5.140625" style="1" customWidth="1"/>
    <col min="22" max="22" width="12.42578125" style="1" customWidth="1"/>
    <col min="23" max="23" width="11.85546875" style="1" customWidth="1"/>
    <col min="24" max="24" width="6.140625" style="1" customWidth="1"/>
    <col min="25" max="25" width="12.42578125" style="1" customWidth="1"/>
    <col min="26" max="26" width="11.85546875" style="1" customWidth="1"/>
    <col min="27" max="27" width="3.7109375" style="1" customWidth="1"/>
    <col min="28" max="29" width="9.7109375" style="1" customWidth="1"/>
    <col min="30" max="30" width="3.7109375" style="1" customWidth="1"/>
    <col min="31" max="32" width="9.7109375" style="1" customWidth="1"/>
    <col min="33" max="33" width="3.7109375" style="1" customWidth="1"/>
    <col min="34" max="35" width="9.7109375" style="1" customWidth="1"/>
    <col min="36" max="36" width="3.7109375" style="1" customWidth="1"/>
    <col min="37" max="38" width="9.7109375" style="1" customWidth="1"/>
    <col min="39" max="39" width="3.7109375" style="1" customWidth="1"/>
    <col min="40" max="41" width="9.7109375" style="1" customWidth="1"/>
    <col min="42" max="42" width="3.7109375" style="1" customWidth="1"/>
    <col min="43" max="44" width="9.7109375" style="1" customWidth="1"/>
    <col min="45" max="45" width="3.7109375" style="1" customWidth="1"/>
    <col min="46" max="47" width="9.7109375" style="1" customWidth="1"/>
    <col min="48" max="48" width="3.7109375" style="1" customWidth="1"/>
    <col min="49" max="50" width="9.7109375" style="1" customWidth="1"/>
    <col min="51" max="51" width="3.7109375" style="1" customWidth="1"/>
    <col min="52" max="53" width="9.7109375" style="1" customWidth="1"/>
    <col min="54" max="54" width="3.7109375" style="1" customWidth="1"/>
    <col min="55" max="55" width="11.85546875" style="1" customWidth="1"/>
    <col min="56" max="56" width="10.42578125" style="1" customWidth="1"/>
    <col min="57" max="57" width="8.140625" style="1" customWidth="1"/>
    <col min="58" max="16384" width="8.85546875" style="1"/>
  </cols>
  <sheetData>
    <row r="1" spans="1:57" ht="15" customHeight="1" thickBot="1" x14ac:dyDescent="0.3">
      <c r="A1" s="184" t="s">
        <v>174</v>
      </c>
      <c r="B1" s="55"/>
      <c r="C1" s="171" t="s">
        <v>0</v>
      </c>
      <c r="D1" s="163">
        <v>0.03</v>
      </c>
      <c r="E1" s="18"/>
      <c r="F1" s="18"/>
      <c r="G1" s="194">
        <v>0.1</v>
      </c>
      <c r="H1" s="170" t="s">
        <v>1</v>
      </c>
      <c r="I1" s="18"/>
      <c r="J1" s="18"/>
      <c r="K1" s="18"/>
      <c r="L1" s="18"/>
      <c r="M1" s="92">
        <v>0.1</v>
      </c>
      <c r="N1" s="18"/>
      <c r="O1" s="18"/>
      <c r="P1" s="18"/>
      <c r="Q1" s="18"/>
      <c r="R1" s="18"/>
      <c r="S1" s="18"/>
      <c r="T1" s="18"/>
      <c r="U1" s="18"/>
      <c r="V1" s="92"/>
      <c r="W1" s="18"/>
      <c r="X1" s="92"/>
      <c r="Y1" s="91">
        <v>0.5</v>
      </c>
      <c r="Z1" s="18"/>
      <c r="AL1" s="83">
        <v>0.1</v>
      </c>
    </row>
    <row r="2" spans="1:57" ht="48" customHeight="1" x14ac:dyDescent="0.25">
      <c r="A2" s="97"/>
      <c r="D2" s="244" t="s">
        <v>128</v>
      </c>
      <c r="E2" s="244"/>
      <c r="F2" s="95"/>
      <c r="G2" s="245" t="s">
        <v>3</v>
      </c>
      <c r="H2" s="245"/>
      <c r="I2" s="18"/>
      <c r="J2" s="245" t="s">
        <v>4</v>
      </c>
      <c r="K2" s="245"/>
      <c r="L2" s="18"/>
      <c r="M2" s="219" t="s">
        <v>5</v>
      </c>
      <c r="N2" s="219"/>
      <c r="O2" s="18"/>
      <c r="P2" s="219" t="s">
        <v>6</v>
      </c>
      <c r="Q2" s="219"/>
      <c r="R2" s="18"/>
      <c r="S2" s="219" t="s">
        <v>7</v>
      </c>
      <c r="T2" s="219"/>
      <c r="U2" s="18"/>
      <c r="V2" s="214" t="s">
        <v>8</v>
      </c>
      <c r="W2" s="214"/>
      <c r="X2" s="52"/>
      <c r="Y2" s="211" t="s">
        <v>9</v>
      </c>
      <c r="Z2" s="211"/>
      <c r="AB2" s="215" t="s">
        <v>10</v>
      </c>
      <c r="AC2" s="215"/>
      <c r="AE2" s="211" t="s">
        <v>11</v>
      </c>
      <c r="AF2" s="211"/>
      <c r="AH2" s="211" t="s">
        <v>12</v>
      </c>
      <c r="AI2" s="211"/>
      <c r="AK2" s="211" t="s">
        <v>13</v>
      </c>
      <c r="AL2" s="211"/>
      <c r="AN2" s="211" t="s">
        <v>14</v>
      </c>
      <c r="AO2" s="211"/>
      <c r="AQ2" s="212" t="s">
        <v>15</v>
      </c>
      <c r="AR2" s="212"/>
      <c r="AT2" s="211" t="s">
        <v>16</v>
      </c>
      <c r="AU2" s="211"/>
      <c r="AW2" s="213" t="s">
        <v>17</v>
      </c>
      <c r="AX2" s="213"/>
      <c r="AZ2" s="213" t="s">
        <v>18</v>
      </c>
      <c r="BA2" s="213"/>
      <c r="BC2" s="213" t="s">
        <v>129</v>
      </c>
      <c r="BD2" s="213"/>
    </row>
    <row r="3" spans="1:57" s="52" customFormat="1" ht="60" customHeight="1" x14ac:dyDescent="0.25">
      <c r="A3" s="97"/>
      <c r="D3" s="195" t="s">
        <v>130</v>
      </c>
      <c r="E3" s="147" t="s">
        <v>131</v>
      </c>
      <c r="F3" s="35"/>
      <c r="G3" s="151" t="s">
        <v>130</v>
      </c>
      <c r="H3" s="152" t="s">
        <v>131</v>
      </c>
      <c r="J3" s="151" t="s">
        <v>130</v>
      </c>
      <c r="K3" s="152" t="s">
        <v>131</v>
      </c>
      <c r="M3" s="132" t="s">
        <v>130</v>
      </c>
      <c r="N3" s="133" t="s">
        <v>131</v>
      </c>
      <c r="P3" s="132" t="s">
        <v>130</v>
      </c>
      <c r="Q3" s="133" t="s">
        <v>131</v>
      </c>
      <c r="S3" s="132" t="s">
        <v>130</v>
      </c>
      <c r="T3" s="133" t="s">
        <v>131</v>
      </c>
      <c r="V3" s="96" t="s">
        <v>130</v>
      </c>
      <c r="W3" s="95" t="s">
        <v>131</v>
      </c>
      <c r="Y3" s="96" t="s">
        <v>130</v>
      </c>
      <c r="Z3" s="95" t="s">
        <v>131</v>
      </c>
      <c r="AB3" s="96" t="s">
        <v>130</v>
      </c>
      <c r="AC3" s="95" t="s">
        <v>131</v>
      </c>
      <c r="AE3" s="96" t="s">
        <v>130</v>
      </c>
      <c r="AF3" s="95" t="s">
        <v>131</v>
      </c>
      <c r="AG3" s="34"/>
      <c r="AH3" s="96" t="s">
        <v>130</v>
      </c>
      <c r="AI3" s="95" t="s">
        <v>131</v>
      </c>
      <c r="AK3" s="128" t="s">
        <v>130</v>
      </c>
      <c r="AL3" s="129" t="s">
        <v>131</v>
      </c>
      <c r="AN3" s="96" t="s">
        <v>130</v>
      </c>
      <c r="AO3" s="95" t="s">
        <v>131</v>
      </c>
      <c r="AQ3" s="196" t="s">
        <v>130</v>
      </c>
      <c r="AR3" s="142" t="s">
        <v>131</v>
      </c>
      <c r="AT3" s="197" t="s">
        <v>130</v>
      </c>
      <c r="AU3" s="129" t="s">
        <v>131</v>
      </c>
      <c r="AW3" s="96" t="s">
        <v>130</v>
      </c>
      <c r="AX3" s="95" t="s">
        <v>131</v>
      </c>
      <c r="AZ3" s="96" t="s">
        <v>130</v>
      </c>
      <c r="BA3" s="95" t="s">
        <v>131</v>
      </c>
      <c r="BC3" s="139" t="s">
        <v>130</v>
      </c>
      <c r="BD3" s="95" t="s">
        <v>131</v>
      </c>
    </row>
    <row r="4" spans="1:57" x14ac:dyDescent="0.25">
      <c r="A4" s="167" t="s">
        <v>132</v>
      </c>
      <c r="B4" s="4"/>
      <c r="D4" s="137"/>
      <c r="E4" s="148"/>
      <c r="F4" s="39"/>
      <c r="G4" s="138"/>
      <c r="H4" s="138"/>
      <c r="J4" s="154"/>
      <c r="K4" s="154"/>
      <c r="M4" s="123"/>
      <c r="N4" s="123"/>
      <c r="P4" s="123"/>
      <c r="Q4" s="123"/>
      <c r="S4" s="140"/>
      <c r="T4" s="140"/>
      <c r="V4" s="75"/>
      <c r="AK4" s="131"/>
      <c r="AL4" s="131"/>
      <c r="AQ4" s="143"/>
      <c r="AR4" s="143"/>
      <c r="AT4" s="131"/>
      <c r="AU4" s="131"/>
    </row>
    <row r="5" spans="1:57" x14ac:dyDescent="0.25">
      <c r="A5" t="s">
        <v>133</v>
      </c>
      <c r="D5" s="162">
        <f>ROUND('AMT Silver Standard re 1 Apr25'!D5*SUM(1+'AMT Silver Standard re 24Feb26'!$D$1),2)</f>
        <v>33.24</v>
      </c>
      <c r="E5" s="162">
        <f>ROUND('AMT Silver Standard re 1 Apr25'!E5*SUM(1+'AMT Silver Standard re 24Feb26'!$D$1),2)</f>
        <v>59.51</v>
      </c>
      <c r="F5" s="81"/>
      <c r="G5" s="153">
        <f t="shared" ref="G5:H8" si="0">D5*SUM(1+$G$1/$Y$1)</f>
        <v>39.887999999999998</v>
      </c>
      <c r="H5" s="153">
        <f t="shared" si="0"/>
        <v>71.411999999999992</v>
      </c>
      <c r="I5" s="83"/>
      <c r="J5" s="155">
        <f>G5-D5</f>
        <v>6.6479999999999961</v>
      </c>
      <c r="K5" s="155">
        <f>H5-E5</f>
        <v>11.901999999999994</v>
      </c>
      <c r="L5" s="83"/>
      <c r="M5" s="134">
        <f>ROUND(D5*(1+$G$1*2),2)*SUM(1+$M$1)</f>
        <v>43.879000000000005</v>
      </c>
      <c r="N5" s="134">
        <f>ROUND(E5*(1+$G$1*2),2)*SUM(1+$M$1)</f>
        <v>78.551000000000002</v>
      </c>
      <c r="P5" s="134">
        <f>M5-D5</f>
        <v>10.639000000000003</v>
      </c>
      <c r="Q5" s="134">
        <f>N5-E5</f>
        <v>19.041000000000004</v>
      </c>
      <c r="S5" s="141">
        <f t="shared" ref="S5:T8" si="1">AK5/G5</f>
        <v>0.10003008423586042</v>
      </c>
      <c r="T5" s="141">
        <f t="shared" si="1"/>
        <v>9.9983196101495558E-2</v>
      </c>
      <c r="V5" s="41">
        <f t="shared" ref="V5:W8" si="2">SUM(D5/(1-$Y$1))</f>
        <v>66.48</v>
      </c>
      <c r="W5" s="41">
        <f t="shared" si="2"/>
        <v>119.02</v>
      </c>
      <c r="X5" s="82"/>
      <c r="Y5" s="41">
        <f>ROUND(D5/(1-$Y$1)*1.2,2)</f>
        <v>79.78</v>
      </c>
      <c r="Z5" s="41">
        <f>ROUND(E5/(1-$Y$1)*1.2,2)</f>
        <v>142.82</v>
      </c>
      <c r="AB5" s="182">
        <f>ROUNDDOWN(D5/(1-$Y$1)*1.2,1)</f>
        <v>79.7</v>
      </c>
      <c r="AC5" s="182">
        <f>ROUNDDOWN(E5/(1-$Y$1)*1.2,1)</f>
        <v>142.80000000000001</v>
      </c>
      <c r="AE5" s="40">
        <f>AB5/1.2</f>
        <v>66.416666666666671</v>
      </c>
      <c r="AF5" s="40">
        <f>AC5/1.2</f>
        <v>119.00000000000001</v>
      </c>
      <c r="AH5" s="40">
        <f>Y5-AB5</f>
        <v>7.9999999999998295E-2</v>
      </c>
      <c r="AI5" s="40">
        <f>Z5-AC5</f>
        <v>1.999999999998181E-2</v>
      </c>
      <c r="AK5" s="130">
        <f t="shared" ref="AK5:AL8" si="3">ROUND(M5*(1-(1/(1+$AL$1))),2)</f>
        <v>3.99</v>
      </c>
      <c r="AL5" s="130">
        <f t="shared" si="3"/>
        <v>7.14</v>
      </c>
      <c r="AM5" s="40"/>
      <c r="AN5" s="40">
        <f>SUM(V5-G5)-AH5</f>
        <v>26.512000000000008</v>
      </c>
      <c r="AO5" s="40">
        <f>SUM(W5-H5)-AI5</f>
        <v>47.588000000000022</v>
      </c>
      <c r="AP5" s="40"/>
      <c r="AQ5" s="144">
        <f t="shared" ref="AQ5:AR8" si="4">(SUM(G5-D5)/D5*$Y$1)</f>
        <v>9.9999999999999936E-2</v>
      </c>
      <c r="AR5" s="144">
        <f t="shared" si="4"/>
        <v>9.999999999999995E-2</v>
      </c>
      <c r="AS5" s="40"/>
      <c r="AT5" s="146">
        <f t="shared" ref="AT5:AU8" si="5">AN5/V5</f>
        <v>0.39879663056558373</v>
      </c>
      <c r="AU5" s="146">
        <f t="shared" si="5"/>
        <v>0.39983196101495566</v>
      </c>
      <c r="AV5" s="40"/>
      <c r="AW5" s="76">
        <f t="shared" ref="AW5:AX8" si="6">D5/V5</f>
        <v>0.5</v>
      </c>
      <c r="AX5" s="76">
        <f t="shared" si="6"/>
        <v>0.5</v>
      </c>
      <c r="AY5" s="42"/>
      <c r="AZ5" s="42">
        <f t="shared" ref="AZ5:BA8" si="7">J5+AN5</f>
        <v>33.160000000000004</v>
      </c>
      <c r="BA5" s="42">
        <f t="shared" si="7"/>
        <v>59.490000000000016</v>
      </c>
      <c r="BB5" s="42"/>
      <c r="BC5" s="76">
        <f t="shared" ref="BC5:BD8" si="8">AZ5/(D5/$Y$1)</f>
        <v>0.49879663056558365</v>
      </c>
      <c r="BD5" s="76">
        <f t="shared" si="8"/>
        <v>0.49983196101495564</v>
      </c>
      <c r="BE5" s="42"/>
    </row>
    <row r="6" spans="1:57" x14ac:dyDescent="0.25">
      <c r="A6" t="s">
        <v>134</v>
      </c>
      <c r="D6" s="162">
        <f>ROUND('AMT Silver Standard re 1 Apr25'!D6*SUM(1+'AMT Silver Standard re 24Feb26'!$D$1),2)</f>
        <v>49.86</v>
      </c>
      <c r="E6" s="162">
        <f>ROUND('AMT Silver Standard re 1 Apr25'!E6*SUM(1+'AMT Silver Standard re 24Feb26'!$D$1),2)</f>
        <v>89.27</v>
      </c>
      <c r="F6" s="81"/>
      <c r="G6" s="153">
        <f t="shared" si="0"/>
        <v>59.831999999999994</v>
      </c>
      <c r="H6" s="153">
        <f t="shared" si="0"/>
        <v>107.124</v>
      </c>
      <c r="I6" s="83"/>
      <c r="J6" s="155">
        <f>G6-D6</f>
        <v>9.9719999999999942</v>
      </c>
      <c r="K6" s="155">
        <f>H6-E6</f>
        <v>17.853999999999999</v>
      </c>
      <c r="L6" s="83"/>
      <c r="M6" s="134">
        <f t="shared" ref="M6:N8" si="9">ROUND(D6*(1+$G$1*2),2)*SUM(1+$M$1)</f>
        <v>65.813000000000002</v>
      </c>
      <c r="N6" s="134">
        <f t="shared" si="9"/>
        <v>117.83200000000001</v>
      </c>
      <c r="P6" s="134">
        <f>M6-D6</f>
        <v>15.953000000000003</v>
      </c>
      <c r="Q6" s="134">
        <f>N6-E6</f>
        <v>28.562000000000012</v>
      </c>
      <c r="S6" s="141">
        <f t="shared" si="1"/>
        <v>9.9946516914025951E-2</v>
      </c>
      <c r="T6" s="141">
        <f t="shared" si="1"/>
        <v>9.9977596056906023E-2</v>
      </c>
      <c r="V6" s="41">
        <f t="shared" si="2"/>
        <v>99.72</v>
      </c>
      <c r="W6" s="41">
        <f t="shared" si="2"/>
        <v>178.54</v>
      </c>
      <c r="X6" s="82"/>
      <c r="Y6" s="41">
        <f t="shared" ref="Y6:Z8" si="10">ROUND(D6/(1-$Y$1)*1.2,2)</f>
        <v>119.66</v>
      </c>
      <c r="Z6" s="41">
        <f t="shared" si="10"/>
        <v>214.25</v>
      </c>
      <c r="AB6" s="182">
        <f t="shared" ref="AB6:AC8" si="11">ROUNDDOWN(D6/(1-$Y$1)*1.2,1)</f>
        <v>119.6</v>
      </c>
      <c r="AC6" s="182">
        <f t="shared" si="11"/>
        <v>214.2</v>
      </c>
      <c r="AE6" s="40">
        <f t="shared" ref="AE6:AF8" si="12">AB6/1.2</f>
        <v>99.666666666666671</v>
      </c>
      <c r="AF6" s="40">
        <f t="shared" si="12"/>
        <v>178.5</v>
      </c>
      <c r="AH6" s="40">
        <f t="shared" ref="AH6:AI8" si="13">Y6-AB6</f>
        <v>6.0000000000002274E-2</v>
      </c>
      <c r="AI6" s="40">
        <f t="shared" si="13"/>
        <v>5.0000000000011369E-2</v>
      </c>
      <c r="AK6" s="130">
        <f t="shared" si="3"/>
        <v>5.98</v>
      </c>
      <c r="AL6" s="130">
        <f t="shared" si="3"/>
        <v>10.71</v>
      </c>
      <c r="AM6" s="40"/>
      <c r="AN6" s="40">
        <f t="shared" ref="AN6:AN8" si="14">SUM(V6-G6)-AH6</f>
        <v>39.828000000000003</v>
      </c>
      <c r="AO6" s="40">
        <f t="shared" ref="AO6:AO8" si="15">SUM(W6-H6)-AI6</f>
        <v>71.365999999999985</v>
      </c>
      <c r="AP6" s="40"/>
      <c r="AQ6" s="144">
        <f t="shared" si="4"/>
        <v>9.9999999999999936E-2</v>
      </c>
      <c r="AR6" s="144">
        <f t="shared" si="4"/>
        <v>0.1</v>
      </c>
      <c r="AS6" s="40"/>
      <c r="AT6" s="146">
        <f t="shared" si="5"/>
        <v>0.39939831528279185</v>
      </c>
      <c r="AU6" s="146">
        <f t="shared" si="5"/>
        <v>0.39971995071132516</v>
      </c>
      <c r="AV6" s="40"/>
      <c r="AW6" s="76">
        <f t="shared" si="6"/>
        <v>0.5</v>
      </c>
      <c r="AX6" s="76">
        <f t="shared" si="6"/>
        <v>0.5</v>
      </c>
      <c r="AY6" s="42"/>
      <c r="AZ6" s="42">
        <f t="shared" si="7"/>
        <v>49.8</v>
      </c>
      <c r="BA6" s="42">
        <f t="shared" si="7"/>
        <v>89.219999999999985</v>
      </c>
      <c r="BB6" s="42"/>
      <c r="BC6" s="76">
        <f t="shared" si="8"/>
        <v>0.49939831528279177</v>
      </c>
      <c r="BD6" s="76">
        <f t="shared" si="8"/>
        <v>0.49971995071132513</v>
      </c>
      <c r="BE6" s="42"/>
    </row>
    <row r="7" spans="1:57" x14ac:dyDescent="0.25">
      <c r="A7" t="s">
        <v>135</v>
      </c>
      <c r="D7" s="162">
        <f>ROUND('AMT Silver Standard re 1 Apr25'!D7*SUM(1+'AMT Silver Standard re 24Feb26'!$D$1),2)</f>
        <v>55.75</v>
      </c>
      <c r="E7" s="162">
        <f>ROUND('AMT Silver Standard re 1 Apr25'!E7*SUM(1+'AMT Silver Standard re 24Feb26'!$D$1),2)</f>
        <v>102.2</v>
      </c>
      <c r="F7" s="81"/>
      <c r="G7" s="153">
        <f t="shared" si="0"/>
        <v>66.899999999999991</v>
      </c>
      <c r="H7" s="153">
        <f t="shared" si="0"/>
        <v>122.64</v>
      </c>
      <c r="J7" s="155">
        <f t="shared" ref="J7:K8" si="16">G7-D7</f>
        <v>11.149999999999991</v>
      </c>
      <c r="K7" s="155">
        <f t="shared" si="16"/>
        <v>20.439999999999998</v>
      </c>
      <c r="M7" s="134">
        <f t="shared" si="9"/>
        <v>73.590000000000018</v>
      </c>
      <c r="N7" s="134">
        <f t="shared" si="9"/>
        <v>134.90400000000002</v>
      </c>
      <c r="P7" s="134">
        <f t="shared" ref="P7:Q8" si="17">M7-D7</f>
        <v>17.840000000000018</v>
      </c>
      <c r="Q7" s="134">
        <f t="shared" si="17"/>
        <v>32.704000000000022</v>
      </c>
      <c r="S7" s="141">
        <f t="shared" si="1"/>
        <v>0.10000000000000002</v>
      </c>
      <c r="T7" s="141">
        <f t="shared" si="1"/>
        <v>9.9967384213959551E-2</v>
      </c>
      <c r="V7" s="41">
        <f t="shared" si="2"/>
        <v>111.5</v>
      </c>
      <c r="W7" s="41">
        <f t="shared" si="2"/>
        <v>204.4</v>
      </c>
      <c r="Y7" s="41">
        <f t="shared" si="10"/>
        <v>133.80000000000001</v>
      </c>
      <c r="Z7" s="41">
        <f t="shared" si="10"/>
        <v>245.28</v>
      </c>
      <c r="AB7" s="182">
        <f t="shared" si="11"/>
        <v>133.80000000000001</v>
      </c>
      <c r="AC7" s="182">
        <f t="shared" si="11"/>
        <v>245.2</v>
      </c>
      <c r="AE7" s="40">
        <f t="shared" si="12"/>
        <v>111.50000000000001</v>
      </c>
      <c r="AF7" s="40">
        <f t="shared" si="12"/>
        <v>204.33333333333334</v>
      </c>
      <c r="AH7" s="40">
        <f t="shared" si="13"/>
        <v>0</v>
      </c>
      <c r="AI7" s="40">
        <f t="shared" si="13"/>
        <v>8.0000000000012506E-2</v>
      </c>
      <c r="AK7" s="130">
        <f t="shared" si="3"/>
        <v>6.69</v>
      </c>
      <c r="AL7" s="130">
        <f t="shared" si="3"/>
        <v>12.26</v>
      </c>
      <c r="AM7" s="40"/>
      <c r="AN7" s="40">
        <f t="shared" si="14"/>
        <v>44.600000000000009</v>
      </c>
      <c r="AO7" s="40">
        <f t="shared" si="15"/>
        <v>81.679999999999993</v>
      </c>
      <c r="AP7" s="40"/>
      <c r="AQ7" s="144">
        <f t="shared" si="4"/>
        <v>9.9999999999999922E-2</v>
      </c>
      <c r="AR7" s="144">
        <f t="shared" si="4"/>
        <v>9.9999999999999992E-2</v>
      </c>
      <c r="AS7" s="40"/>
      <c r="AT7" s="146">
        <f t="shared" si="5"/>
        <v>0.40000000000000008</v>
      </c>
      <c r="AU7" s="146">
        <f t="shared" si="5"/>
        <v>0.39960861056751462</v>
      </c>
      <c r="AV7" s="40"/>
      <c r="AW7" s="76">
        <f t="shared" si="6"/>
        <v>0.5</v>
      </c>
      <c r="AX7" s="76">
        <f t="shared" si="6"/>
        <v>0.5</v>
      </c>
      <c r="AY7" s="42"/>
      <c r="AZ7" s="42">
        <f t="shared" si="7"/>
        <v>55.75</v>
      </c>
      <c r="BA7" s="42">
        <f t="shared" si="7"/>
        <v>102.11999999999999</v>
      </c>
      <c r="BB7" s="42"/>
      <c r="BC7" s="76">
        <f t="shared" si="8"/>
        <v>0.5</v>
      </c>
      <c r="BD7" s="76">
        <f t="shared" si="8"/>
        <v>0.4996086105675146</v>
      </c>
      <c r="BE7" s="42"/>
    </row>
    <row r="8" spans="1:57" x14ac:dyDescent="0.25">
      <c r="A8" t="s">
        <v>136</v>
      </c>
      <c r="D8" s="162">
        <f>ROUND('AMT Silver Standard re 1 Apr25'!D8*SUM(1+'AMT Silver Standard re 24Feb26'!$D$1),2)</f>
        <v>58.12</v>
      </c>
      <c r="E8" s="162">
        <f>ROUND('AMT Silver Standard re 1 Apr25'!E8*SUM(1+'AMT Silver Standard re 24Feb26'!$D$1),2)</f>
        <v>105.37</v>
      </c>
      <c r="F8" s="81"/>
      <c r="G8" s="153">
        <f t="shared" si="0"/>
        <v>69.744</v>
      </c>
      <c r="H8" s="153">
        <f t="shared" si="0"/>
        <v>126.444</v>
      </c>
      <c r="J8" s="155">
        <f t="shared" si="16"/>
        <v>11.624000000000002</v>
      </c>
      <c r="K8" s="155">
        <f t="shared" si="16"/>
        <v>21.073999999999998</v>
      </c>
      <c r="M8" s="134">
        <f t="shared" si="9"/>
        <v>76.713999999999999</v>
      </c>
      <c r="N8" s="134">
        <f t="shared" si="9"/>
        <v>139.084</v>
      </c>
      <c r="P8" s="134">
        <f t="shared" si="17"/>
        <v>18.594000000000001</v>
      </c>
      <c r="Q8" s="134">
        <f t="shared" si="17"/>
        <v>33.713999999999999</v>
      </c>
      <c r="S8" s="141">
        <f t="shared" si="1"/>
        <v>9.9936912135810962E-2</v>
      </c>
      <c r="T8" s="141">
        <f t="shared" si="1"/>
        <v>9.9965201986650223E-2</v>
      </c>
      <c r="V8" s="41">
        <f t="shared" si="2"/>
        <v>116.24</v>
      </c>
      <c r="W8" s="41">
        <f t="shared" si="2"/>
        <v>210.74</v>
      </c>
      <c r="Y8" s="41">
        <f t="shared" si="10"/>
        <v>139.49</v>
      </c>
      <c r="Z8" s="41">
        <f t="shared" si="10"/>
        <v>252.89</v>
      </c>
      <c r="AB8" s="182">
        <f t="shared" si="11"/>
        <v>139.4</v>
      </c>
      <c r="AC8" s="182">
        <f t="shared" si="11"/>
        <v>252.8</v>
      </c>
      <c r="AE8" s="40">
        <f t="shared" si="12"/>
        <v>116.16666666666667</v>
      </c>
      <c r="AF8" s="40">
        <f t="shared" si="12"/>
        <v>210.66666666666669</v>
      </c>
      <c r="AH8" s="40">
        <f t="shared" si="13"/>
        <v>9.0000000000003411E-2</v>
      </c>
      <c r="AI8" s="40">
        <f t="shared" si="13"/>
        <v>8.9999999999974989E-2</v>
      </c>
      <c r="AK8" s="130">
        <f t="shared" si="3"/>
        <v>6.97</v>
      </c>
      <c r="AL8" s="130">
        <f t="shared" si="3"/>
        <v>12.64</v>
      </c>
      <c r="AM8" s="40"/>
      <c r="AN8" s="40">
        <f t="shared" si="14"/>
        <v>46.405999999999992</v>
      </c>
      <c r="AO8" s="40">
        <f t="shared" si="15"/>
        <v>84.206000000000031</v>
      </c>
      <c r="AP8" s="40"/>
      <c r="AQ8" s="144">
        <f t="shared" si="4"/>
        <v>0.10000000000000002</v>
      </c>
      <c r="AR8" s="144">
        <f t="shared" si="4"/>
        <v>9.9999999999999992E-2</v>
      </c>
      <c r="AS8" s="40"/>
      <c r="AT8" s="146">
        <f t="shared" si="5"/>
        <v>0.39922573984858906</v>
      </c>
      <c r="AU8" s="146">
        <f t="shared" si="5"/>
        <v>0.39957293347252554</v>
      </c>
      <c r="AV8" s="40"/>
      <c r="AW8" s="76">
        <f t="shared" si="6"/>
        <v>0.5</v>
      </c>
      <c r="AX8" s="76">
        <f t="shared" si="6"/>
        <v>0.5</v>
      </c>
      <c r="AY8" s="42"/>
      <c r="AZ8" s="42">
        <f t="shared" si="7"/>
        <v>58.029999999999994</v>
      </c>
      <c r="BA8" s="42">
        <f t="shared" si="7"/>
        <v>105.28000000000003</v>
      </c>
      <c r="BB8" s="42"/>
      <c r="BC8" s="76">
        <f t="shared" si="8"/>
        <v>0.49922573984858909</v>
      </c>
      <c r="BD8" s="76">
        <f t="shared" si="8"/>
        <v>0.49957293347252552</v>
      </c>
      <c r="BE8" s="42"/>
    </row>
    <row r="9" spans="1:57" x14ac:dyDescent="0.25">
      <c r="A9"/>
      <c r="D9" s="162"/>
      <c r="E9" s="162"/>
      <c r="F9" s="41"/>
      <c r="G9" s="153"/>
      <c r="H9" s="153"/>
      <c r="I9" s="75"/>
      <c r="J9" s="156"/>
      <c r="K9" s="156"/>
      <c r="L9" s="75"/>
      <c r="M9" s="134"/>
      <c r="N9" s="134"/>
      <c r="P9" s="134"/>
      <c r="Q9" s="134"/>
      <c r="S9" s="140"/>
      <c r="T9" s="140"/>
      <c r="V9" s="40"/>
      <c r="W9" s="40"/>
      <c r="Y9" s="41"/>
      <c r="Z9" s="41"/>
      <c r="AK9" s="130"/>
      <c r="AL9" s="130"/>
      <c r="AM9" s="40"/>
      <c r="AN9" s="40"/>
      <c r="AO9" s="40"/>
      <c r="AP9" s="40"/>
      <c r="AQ9" s="145"/>
      <c r="AR9" s="145"/>
      <c r="AS9" s="40"/>
      <c r="AT9" s="146"/>
      <c r="AU9" s="146"/>
      <c r="AV9" s="40"/>
      <c r="AW9" s="76"/>
      <c r="AX9" s="76"/>
      <c r="AY9" s="42"/>
      <c r="AZ9" s="42"/>
      <c r="BA9" s="42"/>
      <c r="BB9" s="42"/>
      <c r="BC9" s="76"/>
      <c r="BD9" s="76"/>
      <c r="BE9" s="42"/>
    </row>
    <row r="10" spans="1:57" x14ac:dyDescent="0.25">
      <c r="A10" s="167" t="s">
        <v>137</v>
      </c>
      <c r="B10" s="4"/>
      <c r="D10" s="162"/>
      <c r="E10" s="162"/>
      <c r="F10" s="41"/>
      <c r="G10" s="153"/>
      <c r="H10" s="153"/>
      <c r="J10" s="154"/>
      <c r="K10" s="154"/>
      <c r="M10" s="134"/>
      <c r="N10" s="134"/>
      <c r="P10" s="134"/>
      <c r="Q10" s="134"/>
      <c r="S10" s="140"/>
      <c r="T10" s="140"/>
      <c r="V10" s="40"/>
      <c r="W10" s="40"/>
      <c r="Y10" s="41"/>
      <c r="Z10" s="41"/>
      <c r="AK10" s="130"/>
      <c r="AL10" s="130"/>
      <c r="AM10" s="40"/>
      <c r="AN10" s="40"/>
      <c r="AO10" s="40"/>
      <c r="AP10" s="40"/>
      <c r="AQ10" s="145"/>
      <c r="AR10" s="145"/>
      <c r="AS10" s="40"/>
      <c r="AT10" s="146"/>
      <c r="AU10" s="146"/>
      <c r="AV10" s="40"/>
      <c r="AW10" s="76"/>
      <c r="AX10" s="76"/>
      <c r="AY10" s="42"/>
      <c r="AZ10" s="42"/>
      <c r="BA10" s="42"/>
      <c r="BB10" s="42"/>
      <c r="BC10" s="76"/>
      <c r="BD10" s="76"/>
      <c r="BE10" s="42"/>
    </row>
    <row r="11" spans="1:57" x14ac:dyDescent="0.25">
      <c r="A11" t="s">
        <v>133</v>
      </c>
      <c r="D11" s="162">
        <f>ROUND('AMT Silver Standard re 1 Apr25'!D11*SUM(1+'AMT Silver Standard re 24Feb26'!$D$1),2)</f>
        <v>33.24</v>
      </c>
      <c r="E11" s="162">
        <f>ROUND('AMT Silver Standard re 1 Apr25'!E11*SUM(1+'AMT Silver Standard re 24Feb26'!$D$1),2)</f>
        <v>59.51</v>
      </c>
      <c r="F11" s="81"/>
      <c r="G11" s="153">
        <f t="shared" ref="G11:H14" si="18">D11*SUM(1+$G$1/$Y$1)</f>
        <v>39.887999999999998</v>
      </c>
      <c r="H11" s="153">
        <f t="shared" si="18"/>
        <v>71.411999999999992</v>
      </c>
      <c r="J11" s="155">
        <f t="shared" ref="J11:K14" si="19">G11-D11</f>
        <v>6.6479999999999961</v>
      </c>
      <c r="K11" s="155">
        <f t="shared" si="19"/>
        <v>11.901999999999994</v>
      </c>
      <c r="M11" s="134">
        <f>ROUND(D11*(1+$G$1*2),2)*SUM(1+$M$1)</f>
        <v>43.879000000000005</v>
      </c>
      <c r="N11" s="134">
        <f>ROUND(E11*(1+$G$1*2),2)*SUM(1+$M$1)</f>
        <v>78.551000000000002</v>
      </c>
      <c r="P11" s="134">
        <f t="shared" ref="P11:Q14" si="20">M11-D11</f>
        <v>10.639000000000003</v>
      </c>
      <c r="Q11" s="134">
        <f t="shared" si="20"/>
        <v>19.041000000000004</v>
      </c>
      <c r="S11" s="141">
        <f t="shared" ref="S11:T14" si="21">AK11/G11</f>
        <v>0.10003008423586042</v>
      </c>
      <c r="T11" s="141">
        <f t="shared" si="21"/>
        <v>9.9983196101495558E-2</v>
      </c>
      <c r="V11" s="41">
        <f t="shared" ref="V11:W14" si="22">SUM(D11/(1-$Y$1))</f>
        <v>66.48</v>
      </c>
      <c r="W11" s="41">
        <f t="shared" si="22"/>
        <v>119.02</v>
      </c>
      <c r="Y11" s="41">
        <f>ROUND(D11/(1-$Y$1)*1.2,2)</f>
        <v>79.78</v>
      </c>
      <c r="Z11" s="41">
        <f>ROUND(E11/(1-$Y$1)*1.2,2)</f>
        <v>142.82</v>
      </c>
      <c r="AB11" s="182">
        <f t="shared" ref="AB11:AC14" si="23">ROUNDDOWN(D11/(1-$Y$1)*1.2,1)</f>
        <v>79.7</v>
      </c>
      <c r="AC11" s="182">
        <f t="shared" si="23"/>
        <v>142.80000000000001</v>
      </c>
      <c r="AE11" s="40">
        <f t="shared" ref="AE11:AF14" si="24">AB11/1.2</f>
        <v>66.416666666666671</v>
      </c>
      <c r="AF11" s="40">
        <f t="shared" si="24"/>
        <v>119.00000000000001</v>
      </c>
      <c r="AH11" s="40">
        <f t="shared" ref="AH11:AI14" si="25">Y11-AB11</f>
        <v>7.9999999999998295E-2</v>
      </c>
      <c r="AI11" s="40">
        <f t="shared" si="25"/>
        <v>1.999999999998181E-2</v>
      </c>
      <c r="AK11" s="130">
        <f t="shared" ref="AK11:AL14" si="26">ROUND(M11*(1-(1/(1+$AL$1))),2)</f>
        <v>3.99</v>
      </c>
      <c r="AL11" s="130">
        <f t="shared" si="26"/>
        <v>7.14</v>
      </c>
      <c r="AM11" s="40"/>
      <c r="AN11" s="40">
        <f t="shared" ref="AN11:AN14" si="27">SUM(V11-G11)-AH11</f>
        <v>26.512000000000008</v>
      </c>
      <c r="AO11" s="40">
        <f t="shared" ref="AO11:AO14" si="28">SUM(W11-H11)-AI11</f>
        <v>47.588000000000022</v>
      </c>
      <c r="AP11" s="40"/>
      <c r="AQ11" s="144">
        <f t="shared" ref="AQ11:AR14" si="29">(SUM(G11-D11)/D11*$Y$1)</f>
        <v>9.9999999999999936E-2</v>
      </c>
      <c r="AR11" s="144">
        <f t="shared" si="29"/>
        <v>9.999999999999995E-2</v>
      </c>
      <c r="AS11" s="40"/>
      <c r="AT11" s="146">
        <f t="shared" ref="AT11:AU14" si="30">AN11/V11</f>
        <v>0.39879663056558373</v>
      </c>
      <c r="AU11" s="146">
        <f t="shared" si="30"/>
        <v>0.39983196101495566</v>
      </c>
      <c r="AV11" s="40"/>
      <c r="AW11" s="76">
        <f t="shared" ref="AW11:AX14" si="31">D11/V11</f>
        <v>0.5</v>
      </c>
      <c r="AX11" s="76">
        <f t="shared" si="31"/>
        <v>0.5</v>
      </c>
      <c r="AY11" s="42"/>
      <c r="AZ11" s="42">
        <f t="shared" ref="AZ11:BA14" si="32">J11+AN11</f>
        <v>33.160000000000004</v>
      </c>
      <c r="BA11" s="42">
        <f t="shared" si="32"/>
        <v>59.490000000000016</v>
      </c>
      <c r="BB11" s="42"/>
      <c r="BC11" s="76">
        <f t="shared" ref="BC11:BD14" si="33">AZ11/(D11/$Y$1)</f>
        <v>0.49879663056558365</v>
      </c>
      <c r="BD11" s="76">
        <f t="shared" si="33"/>
        <v>0.49983196101495564</v>
      </c>
      <c r="BE11" s="42"/>
    </row>
    <row r="12" spans="1:57" x14ac:dyDescent="0.25">
      <c r="A12" t="s">
        <v>134</v>
      </c>
      <c r="D12" s="162">
        <f>ROUND('AMT Silver Standard re 1 Apr25'!D12*SUM(1+'AMT Silver Standard re 24Feb26'!$D$1),2)</f>
        <v>49.86</v>
      </c>
      <c r="E12" s="162">
        <f>ROUND('AMT Silver Standard re 1 Apr25'!E12*SUM(1+'AMT Silver Standard re 24Feb26'!$D$1),2)</f>
        <v>89.27</v>
      </c>
      <c r="F12" s="81"/>
      <c r="G12" s="153">
        <f t="shared" si="18"/>
        <v>59.831999999999994</v>
      </c>
      <c r="H12" s="153">
        <f t="shared" si="18"/>
        <v>107.124</v>
      </c>
      <c r="J12" s="155">
        <f t="shared" si="19"/>
        <v>9.9719999999999942</v>
      </c>
      <c r="K12" s="155">
        <f t="shared" si="19"/>
        <v>17.853999999999999</v>
      </c>
      <c r="M12" s="134">
        <f>ROUND(D12*(1+$G$1*2),2)*SUM(1+$M$1)</f>
        <v>65.813000000000002</v>
      </c>
      <c r="N12" s="134">
        <f t="shared" ref="M12:N14" si="34">ROUND(E12*(1+$G$1*2),2)*SUM(1+$M$1)</f>
        <v>117.83200000000001</v>
      </c>
      <c r="P12" s="134">
        <f t="shared" si="20"/>
        <v>15.953000000000003</v>
      </c>
      <c r="Q12" s="134">
        <f t="shared" si="20"/>
        <v>28.562000000000012</v>
      </c>
      <c r="S12" s="141">
        <f t="shared" si="21"/>
        <v>9.9946516914025951E-2</v>
      </c>
      <c r="T12" s="141">
        <f t="shared" si="21"/>
        <v>9.9977596056906023E-2</v>
      </c>
      <c r="V12" s="41">
        <f t="shared" si="22"/>
        <v>99.72</v>
      </c>
      <c r="W12" s="41">
        <f t="shared" si="22"/>
        <v>178.54</v>
      </c>
      <c r="Y12" s="41">
        <f t="shared" ref="Y12:Z14" si="35">ROUND(D12/(1-$Y$1)*1.2,2)</f>
        <v>119.66</v>
      </c>
      <c r="Z12" s="41">
        <f t="shared" si="35"/>
        <v>214.25</v>
      </c>
      <c r="AB12" s="182">
        <f t="shared" si="23"/>
        <v>119.6</v>
      </c>
      <c r="AC12" s="182">
        <f t="shared" si="23"/>
        <v>214.2</v>
      </c>
      <c r="AE12" s="40">
        <f t="shared" si="24"/>
        <v>99.666666666666671</v>
      </c>
      <c r="AF12" s="40">
        <f t="shared" si="24"/>
        <v>178.5</v>
      </c>
      <c r="AH12" s="40">
        <f t="shared" si="25"/>
        <v>6.0000000000002274E-2</v>
      </c>
      <c r="AI12" s="40">
        <f t="shared" si="25"/>
        <v>5.0000000000011369E-2</v>
      </c>
      <c r="AK12" s="130">
        <f t="shared" si="26"/>
        <v>5.98</v>
      </c>
      <c r="AL12" s="130">
        <f t="shared" si="26"/>
        <v>10.71</v>
      </c>
      <c r="AM12" s="40"/>
      <c r="AN12" s="40">
        <f t="shared" si="27"/>
        <v>39.828000000000003</v>
      </c>
      <c r="AO12" s="40">
        <f t="shared" si="28"/>
        <v>71.365999999999985</v>
      </c>
      <c r="AP12" s="40"/>
      <c r="AQ12" s="144">
        <f t="shared" si="29"/>
        <v>9.9999999999999936E-2</v>
      </c>
      <c r="AR12" s="144">
        <f t="shared" si="29"/>
        <v>0.1</v>
      </c>
      <c r="AS12" s="40"/>
      <c r="AT12" s="146">
        <f t="shared" si="30"/>
        <v>0.39939831528279185</v>
      </c>
      <c r="AU12" s="146">
        <f t="shared" si="30"/>
        <v>0.39971995071132516</v>
      </c>
      <c r="AV12" s="40"/>
      <c r="AW12" s="76">
        <f t="shared" si="31"/>
        <v>0.5</v>
      </c>
      <c r="AX12" s="76">
        <f t="shared" si="31"/>
        <v>0.5</v>
      </c>
      <c r="AY12" s="42"/>
      <c r="AZ12" s="42">
        <f t="shared" si="32"/>
        <v>49.8</v>
      </c>
      <c r="BA12" s="42">
        <f t="shared" si="32"/>
        <v>89.219999999999985</v>
      </c>
      <c r="BB12" s="42"/>
      <c r="BC12" s="76">
        <f t="shared" si="33"/>
        <v>0.49939831528279177</v>
      </c>
      <c r="BD12" s="76">
        <f t="shared" si="33"/>
        <v>0.49971995071132513</v>
      </c>
      <c r="BE12" s="42"/>
    </row>
    <row r="13" spans="1:57" x14ac:dyDescent="0.25">
      <c r="A13" t="s">
        <v>135</v>
      </c>
      <c r="D13" s="162">
        <f>ROUND('AMT Silver Standard re 1 Apr25'!D13*SUM(1+'AMT Silver Standard re 24Feb26'!$D$1),2)</f>
        <v>55.75</v>
      </c>
      <c r="E13" s="162">
        <f>ROUND('AMT Silver Standard re 1 Apr25'!E13*SUM(1+'AMT Silver Standard re 24Feb26'!$D$1),2)</f>
        <v>102.2</v>
      </c>
      <c r="F13" s="81"/>
      <c r="G13" s="153">
        <f t="shared" si="18"/>
        <v>66.899999999999991</v>
      </c>
      <c r="H13" s="153">
        <f t="shared" si="18"/>
        <v>122.64</v>
      </c>
      <c r="J13" s="155">
        <f t="shared" si="19"/>
        <v>11.149999999999991</v>
      </c>
      <c r="K13" s="155">
        <f t="shared" si="19"/>
        <v>20.439999999999998</v>
      </c>
      <c r="M13" s="134">
        <f t="shared" si="34"/>
        <v>73.590000000000018</v>
      </c>
      <c r="N13" s="134">
        <f t="shared" si="34"/>
        <v>134.90400000000002</v>
      </c>
      <c r="P13" s="134">
        <f t="shared" si="20"/>
        <v>17.840000000000018</v>
      </c>
      <c r="Q13" s="134">
        <f t="shared" si="20"/>
        <v>32.704000000000022</v>
      </c>
      <c r="S13" s="141">
        <f t="shared" si="21"/>
        <v>0.10000000000000002</v>
      </c>
      <c r="T13" s="141">
        <f t="shared" si="21"/>
        <v>9.9967384213959551E-2</v>
      </c>
      <c r="V13" s="41">
        <f t="shared" si="22"/>
        <v>111.5</v>
      </c>
      <c r="W13" s="41">
        <f t="shared" si="22"/>
        <v>204.4</v>
      </c>
      <c r="Y13" s="41">
        <f t="shared" si="35"/>
        <v>133.80000000000001</v>
      </c>
      <c r="Z13" s="41">
        <f t="shared" si="35"/>
        <v>245.28</v>
      </c>
      <c r="AB13" s="182">
        <f t="shared" si="23"/>
        <v>133.80000000000001</v>
      </c>
      <c r="AC13" s="182">
        <f t="shared" si="23"/>
        <v>245.2</v>
      </c>
      <c r="AE13" s="40">
        <f t="shared" si="24"/>
        <v>111.50000000000001</v>
      </c>
      <c r="AF13" s="40">
        <f t="shared" si="24"/>
        <v>204.33333333333334</v>
      </c>
      <c r="AH13" s="40">
        <f t="shared" si="25"/>
        <v>0</v>
      </c>
      <c r="AI13" s="40">
        <f t="shared" si="25"/>
        <v>8.0000000000012506E-2</v>
      </c>
      <c r="AK13" s="130">
        <f t="shared" si="26"/>
        <v>6.69</v>
      </c>
      <c r="AL13" s="130">
        <f t="shared" si="26"/>
        <v>12.26</v>
      </c>
      <c r="AM13" s="40"/>
      <c r="AN13" s="40">
        <f t="shared" si="27"/>
        <v>44.600000000000009</v>
      </c>
      <c r="AO13" s="40">
        <f t="shared" si="28"/>
        <v>81.679999999999993</v>
      </c>
      <c r="AP13" s="40"/>
      <c r="AQ13" s="144">
        <f t="shared" si="29"/>
        <v>9.9999999999999922E-2</v>
      </c>
      <c r="AR13" s="144">
        <f t="shared" si="29"/>
        <v>9.9999999999999992E-2</v>
      </c>
      <c r="AS13" s="40"/>
      <c r="AT13" s="146">
        <f t="shared" si="30"/>
        <v>0.40000000000000008</v>
      </c>
      <c r="AU13" s="146">
        <f t="shared" si="30"/>
        <v>0.39960861056751462</v>
      </c>
      <c r="AV13" s="40"/>
      <c r="AW13" s="76">
        <f t="shared" si="31"/>
        <v>0.5</v>
      </c>
      <c r="AX13" s="76">
        <f t="shared" si="31"/>
        <v>0.5</v>
      </c>
      <c r="AY13" s="42"/>
      <c r="AZ13" s="42">
        <f t="shared" si="32"/>
        <v>55.75</v>
      </c>
      <c r="BA13" s="42">
        <f t="shared" si="32"/>
        <v>102.11999999999999</v>
      </c>
      <c r="BB13" s="42"/>
      <c r="BC13" s="76">
        <f t="shared" si="33"/>
        <v>0.5</v>
      </c>
      <c r="BD13" s="76">
        <f t="shared" si="33"/>
        <v>0.4996086105675146</v>
      </c>
      <c r="BE13" s="42"/>
    </row>
    <row r="14" spans="1:57" x14ac:dyDescent="0.25">
      <c r="A14" t="s">
        <v>136</v>
      </c>
      <c r="D14" s="162">
        <f>ROUND('AMT Silver Standard re 1 Apr25'!D14*SUM(1+'AMT Silver Standard re 24Feb26'!$D$1),2)</f>
        <v>58.12</v>
      </c>
      <c r="E14" s="162">
        <f>ROUND('AMT Silver Standard re 1 Apr25'!E14*SUM(1+'AMT Silver Standard re 24Feb26'!$D$1),2)</f>
        <v>105.37</v>
      </c>
      <c r="F14" s="81"/>
      <c r="G14" s="153">
        <f t="shared" si="18"/>
        <v>69.744</v>
      </c>
      <c r="H14" s="153">
        <f t="shared" si="18"/>
        <v>126.444</v>
      </c>
      <c r="J14" s="155">
        <f t="shared" si="19"/>
        <v>11.624000000000002</v>
      </c>
      <c r="K14" s="155">
        <f t="shared" si="19"/>
        <v>21.073999999999998</v>
      </c>
      <c r="M14" s="134">
        <f t="shared" si="34"/>
        <v>76.713999999999999</v>
      </c>
      <c r="N14" s="134">
        <f t="shared" si="34"/>
        <v>139.084</v>
      </c>
      <c r="P14" s="134">
        <f t="shared" si="20"/>
        <v>18.594000000000001</v>
      </c>
      <c r="Q14" s="134">
        <f t="shared" si="20"/>
        <v>33.713999999999999</v>
      </c>
      <c r="S14" s="141">
        <f t="shared" si="21"/>
        <v>9.9936912135810962E-2</v>
      </c>
      <c r="T14" s="141">
        <f t="shared" si="21"/>
        <v>9.9965201986650223E-2</v>
      </c>
      <c r="V14" s="41">
        <f t="shared" si="22"/>
        <v>116.24</v>
      </c>
      <c r="W14" s="41">
        <f t="shared" si="22"/>
        <v>210.74</v>
      </c>
      <c r="Y14" s="41">
        <f t="shared" si="35"/>
        <v>139.49</v>
      </c>
      <c r="Z14" s="41">
        <f t="shared" si="35"/>
        <v>252.89</v>
      </c>
      <c r="AB14" s="182">
        <f t="shared" si="23"/>
        <v>139.4</v>
      </c>
      <c r="AC14" s="182">
        <f t="shared" si="23"/>
        <v>252.8</v>
      </c>
      <c r="AE14" s="40">
        <f t="shared" si="24"/>
        <v>116.16666666666667</v>
      </c>
      <c r="AF14" s="40">
        <f t="shared" si="24"/>
        <v>210.66666666666669</v>
      </c>
      <c r="AH14" s="40">
        <f t="shared" si="25"/>
        <v>9.0000000000003411E-2</v>
      </c>
      <c r="AI14" s="40">
        <f t="shared" si="25"/>
        <v>8.9999999999974989E-2</v>
      </c>
      <c r="AK14" s="130">
        <f t="shared" si="26"/>
        <v>6.97</v>
      </c>
      <c r="AL14" s="130">
        <f t="shared" si="26"/>
        <v>12.64</v>
      </c>
      <c r="AM14" s="40"/>
      <c r="AN14" s="40">
        <f t="shared" si="27"/>
        <v>46.405999999999992</v>
      </c>
      <c r="AO14" s="40">
        <f t="shared" si="28"/>
        <v>84.206000000000031</v>
      </c>
      <c r="AP14" s="40"/>
      <c r="AQ14" s="144">
        <f t="shared" si="29"/>
        <v>0.10000000000000002</v>
      </c>
      <c r="AR14" s="144">
        <f t="shared" si="29"/>
        <v>9.9999999999999992E-2</v>
      </c>
      <c r="AS14" s="40"/>
      <c r="AT14" s="146">
        <f t="shared" si="30"/>
        <v>0.39922573984858906</v>
      </c>
      <c r="AU14" s="146">
        <f t="shared" si="30"/>
        <v>0.39957293347252554</v>
      </c>
      <c r="AV14" s="40"/>
      <c r="AW14" s="76">
        <f t="shared" si="31"/>
        <v>0.5</v>
      </c>
      <c r="AX14" s="76">
        <f t="shared" si="31"/>
        <v>0.5</v>
      </c>
      <c r="AY14" s="42"/>
      <c r="AZ14" s="42">
        <f t="shared" si="32"/>
        <v>58.029999999999994</v>
      </c>
      <c r="BA14" s="42">
        <f t="shared" si="32"/>
        <v>105.28000000000003</v>
      </c>
      <c r="BB14" s="42"/>
      <c r="BC14" s="76">
        <f t="shared" si="33"/>
        <v>0.49922573984858909</v>
      </c>
      <c r="BD14" s="76">
        <f t="shared" si="33"/>
        <v>0.49957293347252552</v>
      </c>
      <c r="BE14" s="42"/>
    </row>
    <row r="15" spans="1:57" x14ac:dyDescent="0.25">
      <c r="A15"/>
      <c r="D15" s="150"/>
      <c r="E15" s="150"/>
      <c r="F15" s="41"/>
      <c r="G15" s="153"/>
      <c r="H15" s="153"/>
      <c r="J15" s="154"/>
      <c r="K15" s="154"/>
      <c r="M15" s="134"/>
      <c r="N15" s="134"/>
      <c r="P15" s="134"/>
      <c r="Q15" s="134"/>
      <c r="S15" s="140"/>
      <c r="T15" s="140"/>
      <c r="V15" s="40"/>
      <c r="W15" s="40"/>
      <c r="Y15" s="41"/>
      <c r="Z15" s="41"/>
      <c r="AK15" s="130"/>
      <c r="AL15" s="130"/>
      <c r="AM15" s="40"/>
      <c r="AN15" s="40"/>
      <c r="AO15" s="40"/>
      <c r="AP15" s="40"/>
      <c r="AQ15" s="145"/>
      <c r="AR15" s="145"/>
      <c r="AS15" s="40"/>
      <c r="AT15" s="146"/>
      <c r="AU15" s="146"/>
      <c r="AV15" s="40"/>
      <c r="AW15" s="76"/>
      <c r="AX15" s="76"/>
      <c r="AY15" s="42"/>
      <c r="AZ15" s="42"/>
      <c r="BA15" s="42"/>
      <c r="BB15" s="42"/>
      <c r="BC15" s="76"/>
      <c r="BD15" s="76"/>
      <c r="BE15" s="42"/>
    </row>
    <row r="16" spans="1:57" x14ac:dyDescent="0.25">
      <c r="A16" s="167" t="s">
        <v>138</v>
      </c>
      <c r="B16" s="4"/>
      <c r="D16" s="149"/>
      <c r="E16" s="149"/>
      <c r="F16" s="41"/>
      <c r="G16" s="153"/>
      <c r="H16" s="153"/>
      <c r="J16" s="154"/>
      <c r="K16" s="154"/>
      <c r="M16" s="134"/>
      <c r="N16" s="134"/>
      <c r="P16" s="134"/>
      <c r="Q16" s="134"/>
      <c r="S16" s="140"/>
      <c r="T16" s="140"/>
      <c r="V16" s="40"/>
      <c r="W16" s="40"/>
      <c r="Y16" s="41"/>
      <c r="Z16" s="41"/>
      <c r="AK16" s="130"/>
      <c r="AL16" s="130"/>
      <c r="AM16" s="40"/>
      <c r="AN16" s="40"/>
      <c r="AO16" s="40"/>
      <c r="AP16" s="40"/>
      <c r="AQ16" s="145"/>
      <c r="AR16" s="145"/>
      <c r="AS16" s="40"/>
      <c r="AT16" s="146"/>
      <c r="AU16" s="146"/>
      <c r="AV16" s="40"/>
      <c r="AW16" s="76"/>
      <c r="AX16" s="76"/>
      <c r="AY16" s="42"/>
      <c r="AZ16" s="42"/>
      <c r="BA16" s="42"/>
      <c r="BB16" s="42"/>
      <c r="BC16" s="76"/>
      <c r="BD16" s="76"/>
      <c r="BE16" s="42"/>
    </row>
    <row r="17" spans="1:57" x14ac:dyDescent="0.25">
      <c r="A17" t="s">
        <v>133</v>
      </c>
      <c r="D17" s="162">
        <f>ROUND('AMT Silver Standard re 1 Apr25'!D17*SUM(1+'AMT Silver Standard re 24Feb26'!$D$1),2)</f>
        <v>74.91</v>
      </c>
      <c r="E17" s="162">
        <f>ROUND('AMT Silver Standard re 1 Apr25'!E17*SUM(1+'AMT Silver Standard re 24Feb26'!$D$1),2)</f>
        <v>141.75</v>
      </c>
      <c r="F17" s="81"/>
      <c r="G17" s="153">
        <f t="shared" ref="G17:H20" si="36">D17*SUM(1+$G$1/$Y$1)</f>
        <v>89.891999999999996</v>
      </c>
      <c r="H17" s="153">
        <f t="shared" si="36"/>
        <v>170.1</v>
      </c>
      <c r="I17" s="83"/>
      <c r="J17" s="155">
        <f t="shared" ref="J17:K20" si="37">G17-D17</f>
        <v>14.981999999999999</v>
      </c>
      <c r="K17" s="155">
        <f t="shared" si="37"/>
        <v>28.349999999999994</v>
      </c>
      <c r="L17" s="83"/>
      <c r="M17" s="134">
        <f>ROUND(D17*(1+$G$1*2),2)*SUM(1+$M$1)</f>
        <v>98.879000000000005</v>
      </c>
      <c r="N17" s="134">
        <f>ROUND(E17*(1+$G$1*2),2)*SUM(1+$M$1)</f>
        <v>187.11</v>
      </c>
      <c r="P17" s="134">
        <f t="shared" ref="P17:Q20" si="38">M17-D17</f>
        <v>23.969000000000008</v>
      </c>
      <c r="Q17" s="134">
        <f t="shared" si="38"/>
        <v>45.360000000000014</v>
      </c>
      <c r="S17" s="141">
        <f t="shared" ref="S17:T20" si="39">AK17/G17</f>
        <v>0.10000889956837095</v>
      </c>
      <c r="T17" s="141">
        <f t="shared" si="39"/>
        <v>0.10000000000000002</v>
      </c>
      <c r="V17" s="41">
        <f t="shared" ref="V17:W20" si="40">SUM(D17/(1-$Y$1))</f>
        <v>149.82</v>
      </c>
      <c r="W17" s="41">
        <f t="shared" si="40"/>
        <v>283.5</v>
      </c>
      <c r="Y17" s="41">
        <f>ROUND(D17/(1-$Y$1)*1.2,2)</f>
        <v>179.78</v>
      </c>
      <c r="Z17" s="41">
        <f>ROUND(E17/(1-$Y$1)*1.2,2)</f>
        <v>340.2</v>
      </c>
      <c r="AB17" s="182">
        <f t="shared" ref="AB17:AC20" si="41">ROUNDDOWN(D17/(1-$Y$1)*1.2,1)</f>
        <v>179.7</v>
      </c>
      <c r="AC17" s="182">
        <f t="shared" si="41"/>
        <v>340.2</v>
      </c>
      <c r="AE17" s="40">
        <f t="shared" ref="AE17:AF20" si="42">AB17/1.2</f>
        <v>149.75</v>
      </c>
      <c r="AF17" s="40">
        <f t="shared" si="42"/>
        <v>283.5</v>
      </c>
      <c r="AH17" s="40">
        <f t="shared" ref="AH17:AI20" si="43">Y17-AB17</f>
        <v>8.0000000000012506E-2</v>
      </c>
      <c r="AI17" s="40">
        <f t="shared" si="43"/>
        <v>0</v>
      </c>
      <c r="AK17" s="130">
        <f t="shared" ref="AK17:AL20" si="44">ROUND(M17*(1-(1/(1+$AL$1))),2)</f>
        <v>8.99</v>
      </c>
      <c r="AL17" s="130">
        <f t="shared" si="44"/>
        <v>17.010000000000002</v>
      </c>
      <c r="AM17" s="40"/>
      <c r="AN17" s="40">
        <f t="shared" ref="AN17:AN20" si="45">SUM(V17-G17)-AH17</f>
        <v>59.847999999999985</v>
      </c>
      <c r="AO17" s="40">
        <f t="shared" ref="AO17:AO20" si="46">SUM(W17-H17)-AI17</f>
        <v>113.4</v>
      </c>
      <c r="AP17" s="40"/>
      <c r="AQ17" s="144">
        <f t="shared" ref="AQ17:AR20" si="47">(SUM(G17-D17)/D17*$Y$1)</f>
        <v>0.1</v>
      </c>
      <c r="AR17" s="144">
        <f t="shared" si="47"/>
        <v>9.9999999999999978E-2</v>
      </c>
      <c r="AS17" s="40"/>
      <c r="AT17" s="146">
        <f t="shared" ref="AT17:AU20" si="48">AN17/V17</f>
        <v>0.39946602589774388</v>
      </c>
      <c r="AU17" s="146">
        <f t="shared" si="48"/>
        <v>0.4</v>
      </c>
      <c r="AV17" s="40"/>
      <c r="AW17" s="76">
        <f t="shared" ref="AW17:AX20" si="49">D17/V17</f>
        <v>0.5</v>
      </c>
      <c r="AX17" s="76">
        <f t="shared" si="49"/>
        <v>0.5</v>
      </c>
      <c r="AY17" s="42"/>
      <c r="AZ17" s="42">
        <f t="shared" ref="AZ17:BA20" si="50">J17+AN17</f>
        <v>74.829999999999984</v>
      </c>
      <c r="BA17" s="42">
        <f t="shared" si="50"/>
        <v>141.75</v>
      </c>
      <c r="BB17" s="42"/>
      <c r="BC17" s="76">
        <f t="shared" ref="BC17:BD20" si="51">AZ17/(D17/$Y$1)</f>
        <v>0.49946602589774386</v>
      </c>
      <c r="BD17" s="76">
        <f t="shared" si="51"/>
        <v>0.5</v>
      </c>
      <c r="BE17" s="42"/>
    </row>
    <row r="18" spans="1:57" x14ac:dyDescent="0.25">
      <c r="A18" t="s">
        <v>134</v>
      </c>
      <c r="D18" s="162">
        <f>ROUND('AMT Silver Standard re 1 Apr25'!D18*SUM(1+'AMT Silver Standard re 24Feb26'!$D$1),2)</f>
        <v>112.37</v>
      </c>
      <c r="E18" s="162">
        <f>ROUND('AMT Silver Standard re 1 Apr25'!E18*SUM(1+'AMT Silver Standard re 24Feb26'!$D$1),2)</f>
        <v>212.62</v>
      </c>
      <c r="F18" s="81"/>
      <c r="G18" s="153">
        <f t="shared" si="36"/>
        <v>134.84399999999999</v>
      </c>
      <c r="H18" s="153">
        <f t="shared" si="36"/>
        <v>255.14400000000001</v>
      </c>
      <c r="I18" s="83"/>
      <c r="J18" s="155">
        <f t="shared" si="37"/>
        <v>22.47399999999999</v>
      </c>
      <c r="K18" s="155">
        <f t="shared" si="37"/>
        <v>42.524000000000001</v>
      </c>
      <c r="L18" s="83"/>
      <c r="M18" s="134">
        <f t="shared" ref="M18:N20" si="52">ROUND(D18*(1+$G$1*2),2)*SUM(1+$M$1)</f>
        <v>148.32400000000001</v>
      </c>
      <c r="N18" s="134">
        <f t="shared" si="52"/>
        <v>280.654</v>
      </c>
      <c r="P18" s="134">
        <f t="shared" si="38"/>
        <v>35.954000000000008</v>
      </c>
      <c r="Q18" s="134">
        <f t="shared" si="38"/>
        <v>68.033999999999992</v>
      </c>
      <c r="S18" s="141">
        <f t="shared" si="39"/>
        <v>9.9967369701284461E-2</v>
      </c>
      <c r="T18" s="141">
        <f t="shared" si="39"/>
        <v>9.99827548364845E-2</v>
      </c>
      <c r="V18" s="41">
        <f t="shared" si="40"/>
        <v>224.74</v>
      </c>
      <c r="W18" s="41">
        <f t="shared" si="40"/>
        <v>425.24</v>
      </c>
      <c r="Y18" s="41">
        <f t="shared" ref="Y18:Z20" si="53">ROUND(D18/(1-$Y$1)*1.2,2)</f>
        <v>269.69</v>
      </c>
      <c r="Z18" s="41">
        <f t="shared" si="53"/>
        <v>510.29</v>
      </c>
      <c r="AB18" s="182">
        <f t="shared" si="41"/>
        <v>269.60000000000002</v>
      </c>
      <c r="AC18" s="182">
        <f t="shared" si="41"/>
        <v>510.2</v>
      </c>
      <c r="AE18" s="40">
        <f t="shared" si="42"/>
        <v>224.66666666666669</v>
      </c>
      <c r="AF18" s="40">
        <f t="shared" si="42"/>
        <v>425.16666666666669</v>
      </c>
      <c r="AH18" s="40">
        <f t="shared" si="43"/>
        <v>8.9999999999974989E-2</v>
      </c>
      <c r="AI18" s="40">
        <f t="shared" si="43"/>
        <v>9.0000000000031832E-2</v>
      </c>
      <c r="AK18" s="130">
        <f t="shared" si="44"/>
        <v>13.48</v>
      </c>
      <c r="AL18" s="130">
        <f t="shared" si="44"/>
        <v>25.51</v>
      </c>
      <c r="AM18" s="40"/>
      <c r="AN18" s="40">
        <f t="shared" si="45"/>
        <v>89.80600000000004</v>
      </c>
      <c r="AO18" s="40">
        <f t="shared" si="46"/>
        <v>170.00599999999997</v>
      </c>
      <c r="AP18" s="40"/>
      <c r="AQ18" s="144">
        <f t="shared" si="47"/>
        <v>9.999999999999995E-2</v>
      </c>
      <c r="AR18" s="144">
        <f t="shared" si="47"/>
        <v>0.1</v>
      </c>
      <c r="AS18" s="40"/>
      <c r="AT18" s="146">
        <f t="shared" si="48"/>
        <v>0.39959953724303654</v>
      </c>
      <c r="AU18" s="146">
        <f t="shared" si="48"/>
        <v>0.39978835481140057</v>
      </c>
      <c r="AV18" s="40"/>
      <c r="AW18" s="76">
        <f t="shared" si="49"/>
        <v>0.5</v>
      </c>
      <c r="AX18" s="76">
        <f t="shared" si="49"/>
        <v>0.5</v>
      </c>
      <c r="AY18" s="42"/>
      <c r="AZ18" s="42">
        <f t="shared" si="50"/>
        <v>112.28000000000003</v>
      </c>
      <c r="BA18" s="42">
        <f t="shared" si="50"/>
        <v>212.52999999999997</v>
      </c>
      <c r="BB18" s="42"/>
      <c r="BC18" s="76">
        <f t="shared" si="51"/>
        <v>0.49959953724303652</v>
      </c>
      <c r="BD18" s="76">
        <f t="shared" si="51"/>
        <v>0.49978835481140055</v>
      </c>
      <c r="BE18" s="42"/>
    </row>
    <row r="19" spans="1:57" x14ac:dyDescent="0.25">
      <c r="A19" t="s">
        <v>135</v>
      </c>
      <c r="D19" s="162">
        <f>ROUND('AMT Silver Standard re 1 Apr25'!D19*SUM(1+'AMT Silver Standard re 24Feb26'!$D$1),2)</f>
        <v>120.06</v>
      </c>
      <c r="E19" s="162">
        <f>ROUND('AMT Silver Standard re 1 Apr25'!E19*SUM(1+'AMT Silver Standard re 24Feb26'!$D$1),2)</f>
        <v>231.43</v>
      </c>
      <c r="F19" s="81"/>
      <c r="G19" s="153">
        <f t="shared" si="36"/>
        <v>144.072</v>
      </c>
      <c r="H19" s="153">
        <f t="shared" si="36"/>
        <v>277.71600000000001</v>
      </c>
      <c r="J19" s="155">
        <f t="shared" si="37"/>
        <v>24.012</v>
      </c>
      <c r="K19" s="155">
        <f t="shared" si="37"/>
        <v>46.286000000000001</v>
      </c>
      <c r="M19" s="134">
        <f t="shared" si="52"/>
        <v>158.477</v>
      </c>
      <c r="N19" s="134">
        <f t="shared" si="52"/>
        <v>305.49200000000008</v>
      </c>
      <c r="P19" s="134">
        <f t="shared" si="38"/>
        <v>38.417000000000002</v>
      </c>
      <c r="Q19" s="134">
        <f t="shared" si="38"/>
        <v>74.062000000000069</v>
      </c>
      <c r="S19" s="141">
        <f t="shared" si="39"/>
        <v>0.1000194347270809</v>
      </c>
      <c r="T19" s="141">
        <f t="shared" si="39"/>
        <v>9.9994238718691036E-2</v>
      </c>
      <c r="V19" s="41">
        <f t="shared" si="40"/>
        <v>240.12</v>
      </c>
      <c r="W19" s="41">
        <f t="shared" si="40"/>
        <v>462.86</v>
      </c>
      <c r="Y19" s="41">
        <f t="shared" si="53"/>
        <v>288.14</v>
      </c>
      <c r="Z19" s="41">
        <f t="shared" si="53"/>
        <v>555.42999999999995</v>
      </c>
      <c r="AB19" s="182">
        <f t="shared" si="41"/>
        <v>288.10000000000002</v>
      </c>
      <c r="AC19" s="182">
        <f t="shared" si="41"/>
        <v>555.4</v>
      </c>
      <c r="AE19" s="40">
        <f t="shared" si="42"/>
        <v>240.08333333333337</v>
      </c>
      <c r="AF19" s="40">
        <f t="shared" si="42"/>
        <v>462.83333333333331</v>
      </c>
      <c r="AH19" s="40">
        <f t="shared" si="43"/>
        <v>3.999999999996362E-2</v>
      </c>
      <c r="AI19" s="40">
        <f t="shared" si="43"/>
        <v>2.9999999999972715E-2</v>
      </c>
      <c r="AK19" s="130">
        <f t="shared" si="44"/>
        <v>14.41</v>
      </c>
      <c r="AL19" s="130">
        <f t="shared" si="44"/>
        <v>27.77</v>
      </c>
      <c r="AM19" s="40"/>
      <c r="AN19" s="40">
        <f t="shared" si="45"/>
        <v>96.008000000000038</v>
      </c>
      <c r="AO19" s="40">
        <f t="shared" si="46"/>
        <v>185.11400000000003</v>
      </c>
      <c r="AP19" s="40"/>
      <c r="AQ19" s="144">
        <f t="shared" si="47"/>
        <v>0.1</v>
      </c>
      <c r="AR19" s="144">
        <f t="shared" si="47"/>
        <v>0.1</v>
      </c>
      <c r="AS19" s="40"/>
      <c r="AT19" s="146">
        <f t="shared" si="48"/>
        <v>0.39983341662502098</v>
      </c>
      <c r="AU19" s="146">
        <f t="shared" si="48"/>
        <v>0.39993518558527424</v>
      </c>
      <c r="AV19" s="40"/>
      <c r="AW19" s="76">
        <f t="shared" si="49"/>
        <v>0.5</v>
      </c>
      <c r="AX19" s="76">
        <f t="shared" si="49"/>
        <v>0.5</v>
      </c>
      <c r="AY19" s="42"/>
      <c r="AZ19" s="42">
        <f t="shared" si="50"/>
        <v>120.02000000000004</v>
      </c>
      <c r="BA19" s="42">
        <f t="shared" si="50"/>
        <v>231.40000000000003</v>
      </c>
      <c r="BB19" s="42"/>
      <c r="BC19" s="76">
        <f t="shared" si="51"/>
        <v>0.49983341662502095</v>
      </c>
      <c r="BD19" s="76">
        <f t="shared" si="51"/>
        <v>0.49993518558527422</v>
      </c>
      <c r="BE19" s="42"/>
    </row>
    <row r="20" spans="1:57" x14ac:dyDescent="0.25">
      <c r="A20" t="s">
        <v>136</v>
      </c>
      <c r="D20" s="162">
        <f>ROUND('AMT Silver Standard re 1 Apr25'!D20*SUM(1+'AMT Silver Standard re 24Feb26'!$D$1),2)</f>
        <v>130.34</v>
      </c>
      <c r="E20" s="162">
        <f>ROUND('AMT Silver Standard re 1 Apr25'!E20*SUM(1+'AMT Silver Standard re 24Feb26'!$D$1),2)</f>
        <v>248.16</v>
      </c>
      <c r="F20" s="81"/>
      <c r="G20" s="153">
        <f t="shared" si="36"/>
        <v>156.40799999999999</v>
      </c>
      <c r="H20" s="153">
        <f t="shared" si="36"/>
        <v>297.79199999999997</v>
      </c>
      <c r="J20" s="155">
        <f t="shared" si="37"/>
        <v>26.067999999999984</v>
      </c>
      <c r="K20" s="155">
        <f t="shared" si="37"/>
        <v>49.631999999999977</v>
      </c>
      <c r="M20" s="134">
        <f t="shared" si="52"/>
        <v>172.05100000000002</v>
      </c>
      <c r="N20" s="134">
        <f t="shared" si="52"/>
        <v>327.56900000000007</v>
      </c>
      <c r="P20" s="134">
        <f t="shared" si="38"/>
        <v>41.711000000000013</v>
      </c>
      <c r="Q20" s="134">
        <f t="shared" si="38"/>
        <v>79.409000000000077</v>
      </c>
      <c r="S20" s="141">
        <f t="shared" si="39"/>
        <v>9.9994885172113968E-2</v>
      </c>
      <c r="T20" s="141">
        <f t="shared" si="39"/>
        <v>0.10000268643885667</v>
      </c>
      <c r="V20" s="41">
        <f t="shared" si="40"/>
        <v>260.68</v>
      </c>
      <c r="W20" s="41">
        <f t="shared" si="40"/>
        <v>496.32</v>
      </c>
      <c r="Y20" s="41">
        <f t="shared" si="53"/>
        <v>312.82</v>
      </c>
      <c r="Z20" s="41">
        <f t="shared" si="53"/>
        <v>595.58000000000004</v>
      </c>
      <c r="AB20" s="182">
        <f t="shared" si="41"/>
        <v>312.8</v>
      </c>
      <c r="AC20" s="182">
        <f t="shared" si="41"/>
        <v>595.5</v>
      </c>
      <c r="AE20" s="40">
        <f t="shared" si="42"/>
        <v>260.66666666666669</v>
      </c>
      <c r="AF20" s="40">
        <f t="shared" si="42"/>
        <v>496.25</v>
      </c>
      <c r="AH20" s="40">
        <f t="shared" si="43"/>
        <v>1.999999999998181E-2</v>
      </c>
      <c r="AI20" s="40">
        <f t="shared" si="43"/>
        <v>8.0000000000040927E-2</v>
      </c>
      <c r="AK20" s="130">
        <f t="shared" si="44"/>
        <v>15.64</v>
      </c>
      <c r="AL20" s="130">
        <f t="shared" si="44"/>
        <v>29.78</v>
      </c>
      <c r="AM20" s="40"/>
      <c r="AN20" s="40">
        <f t="shared" si="45"/>
        <v>104.25200000000004</v>
      </c>
      <c r="AO20" s="40">
        <f t="shared" si="46"/>
        <v>198.44799999999998</v>
      </c>
      <c r="AP20" s="40"/>
      <c r="AQ20" s="144">
        <f t="shared" si="47"/>
        <v>9.9999999999999936E-2</v>
      </c>
      <c r="AR20" s="144">
        <f t="shared" si="47"/>
        <v>9.999999999999995E-2</v>
      </c>
      <c r="AS20" s="40"/>
      <c r="AT20" s="146">
        <f t="shared" si="48"/>
        <v>0.39992327758170954</v>
      </c>
      <c r="AU20" s="146">
        <f t="shared" si="48"/>
        <v>0.39983881366860086</v>
      </c>
      <c r="AV20" s="40"/>
      <c r="AW20" s="76">
        <f t="shared" si="49"/>
        <v>0.5</v>
      </c>
      <c r="AX20" s="76">
        <f t="shared" si="49"/>
        <v>0.5</v>
      </c>
      <c r="AY20" s="42"/>
      <c r="AZ20" s="42">
        <f t="shared" si="50"/>
        <v>130.32000000000002</v>
      </c>
      <c r="BA20" s="42">
        <f t="shared" si="50"/>
        <v>248.07999999999996</v>
      </c>
      <c r="BB20" s="42"/>
      <c r="BC20" s="76">
        <f t="shared" si="51"/>
        <v>0.49992327758170946</v>
      </c>
      <c r="BD20" s="76">
        <f t="shared" si="51"/>
        <v>0.49983881366860083</v>
      </c>
      <c r="BE20" s="42"/>
    </row>
    <row r="21" spans="1:57" x14ac:dyDescent="0.25">
      <c r="C21" s="104"/>
      <c r="D21" s="104"/>
      <c r="H21" s="40"/>
      <c r="I21" s="75"/>
      <c r="J21" s="75"/>
      <c r="K21" s="75"/>
      <c r="L21" s="75"/>
      <c r="V21" s="40"/>
      <c r="X21" s="41"/>
      <c r="Y21" s="40"/>
      <c r="Z21" s="40"/>
      <c r="AK21" s="76"/>
      <c r="AL21" s="76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76"/>
      <c r="AX21" s="76"/>
      <c r="AY21" s="42"/>
      <c r="AZ21" s="42"/>
      <c r="BA21" s="42"/>
      <c r="BB21" s="42"/>
      <c r="BC21" s="76"/>
      <c r="BD21" s="76"/>
      <c r="BE21" s="40"/>
    </row>
    <row r="22" spans="1:57" x14ac:dyDescent="0.25">
      <c r="A22" s="4" t="s">
        <v>139</v>
      </c>
      <c r="X22" s="41"/>
      <c r="Y22" s="40"/>
      <c r="Z22" s="40"/>
      <c r="AK22" s="76"/>
      <c r="AL22" s="76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76"/>
      <c r="AX22" s="76"/>
      <c r="AY22" s="42"/>
      <c r="AZ22" s="42"/>
      <c r="BA22" s="42"/>
      <c r="BB22" s="42"/>
      <c r="BC22" s="76"/>
      <c r="BD22" s="76"/>
      <c r="BE22" s="40"/>
    </row>
    <row r="23" spans="1:57" x14ac:dyDescent="0.25">
      <c r="A23" s="53"/>
      <c r="X23" s="41"/>
      <c r="Y23" s="40"/>
      <c r="Z23" s="40"/>
      <c r="AK23" s="76"/>
      <c r="AL23" s="76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76"/>
      <c r="AX23" s="76"/>
      <c r="AY23" s="42"/>
      <c r="AZ23" s="42"/>
      <c r="BA23" s="42"/>
      <c r="BB23" s="42"/>
      <c r="BC23" s="76"/>
      <c r="BD23" s="76"/>
      <c r="BE23" s="40"/>
    </row>
    <row r="24" spans="1:57" x14ac:dyDescent="0.25">
      <c r="A24" s="100" t="s">
        <v>132</v>
      </c>
      <c r="B24" s="52" t="s">
        <v>140</v>
      </c>
      <c r="D24" s="55" t="s">
        <v>141</v>
      </c>
      <c r="E24" s="55"/>
      <c r="F24" s="55"/>
    </row>
    <row r="25" spans="1:57" x14ac:dyDescent="0.25">
      <c r="A25" s="100" t="s">
        <v>137</v>
      </c>
      <c r="B25" s="52" t="s">
        <v>140</v>
      </c>
      <c r="F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</row>
    <row r="26" spans="1:57" x14ac:dyDescent="0.25">
      <c r="A26" s="100" t="s">
        <v>142</v>
      </c>
      <c r="B26" s="52" t="s">
        <v>140</v>
      </c>
      <c r="F26" s="40"/>
      <c r="G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</row>
    <row r="27" spans="1:57" x14ac:dyDescent="0.25">
      <c r="F27" s="40"/>
      <c r="G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</row>
    <row r="28" spans="1:57" ht="30" x14ac:dyDescent="0.25">
      <c r="A28" s="99" t="s">
        <v>143</v>
      </c>
      <c r="B28" s="52" t="s">
        <v>144</v>
      </c>
      <c r="F28" s="40"/>
      <c r="G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</row>
    <row r="29" spans="1:57" x14ac:dyDescent="0.25">
      <c r="G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</row>
    <row r="30" spans="1:57" ht="45" customHeight="1" x14ac:dyDescent="0.25">
      <c r="A30" s="159" t="s">
        <v>145</v>
      </c>
      <c r="B30" s="246" t="s">
        <v>146</v>
      </c>
      <c r="C30" s="246"/>
      <c r="D30" s="246"/>
      <c r="E30" s="246"/>
      <c r="F30" s="99"/>
      <c r="AA30" s="40"/>
      <c r="AB30" s="40"/>
      <c r="AC30" s="40"/>
      <c r="AD30" s="40"/>
      <c r="AE30" s="40"/>
      <c r="AF30" s="40"/>
      <c r="AG30" s="40"/>
      <c r="AH30" s="40"/>
      <c r="AI30" s="40"/>
      <c r="AJ30" s="40"/>
    </row>
    <row r="31" spans="1:57" ht="45" customHeight="1" x14ac:dyDescent="0.25">
      <c r="A31" s="159" t="s">
        <v>147</v>
      </c>
      <c r="B31" s="246" t="s">
        <v>148</v>
      </c>
      <c r="C31" s="246"/>
      <c r="D31" s="246"/>
      <c r="E31" s="246"/>
      <c r="F31" s="246"/>
      <c r="AA31" s="40"/>
      <c r="AB31" s="40"/>
      <c r="AC31" s="40"/>
      <c r="AD31" s="40"/>
      <c r="AE31" s="40"/>
      <c r="AF31" s="40"/>
      <c r="AG31" s="40"/>
      <c r="AH31" s="40"/>
      <c r="AI31" s="40"/>
      <c r="AJ31" s="40"/>
    </row>
    <row r="32" spans="1:57" x14ac:dyDescent="0.25"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</row>
    <row r="33" spans="1:57" x14ac:dyDescent="0.25">
      <c r="A33" s="100" t="s">
        <v>149</v>
      </c>
      <c r="B33" s="101" t="s">
        <v>150</v>
      </c>
      <c r="C33" s="52"/>
      <c r="AA33" s="40"/>
      <c r="AB33" s="40"/>
      <c r="AC33" s="40"/>
      <c r="AD33" s="40"/>
      <c r="AE33" s="40"/>
      <c r="AF33" s="40"/>
      <c r="AG33" s="40"/>
      <c r="AH33" s="40"/>
      <c r="AI33" s="40"/>
      <c r="AJ33" s="40"/>
    </row>
    <row r="34" spans="1:57" x14ac:dyDescent="0.25">
      <c r="A34" s="100" t="s">
        <v>151</v>
      </c>
      <c r="B34" s="101" t="s">
        <v>152</v>
      </c>
      <c r="C34" s="52"/>
    </row>
    <row r="35" spans="1:57" x14ac:dyDescent="0.25">
      <c r="A35" s="100" t="s">
        <v>153</v>
      </c>
      <c r="B35" s="101" t="s">
        <v>154</v>
      </c>
      <c r="C35" s="52"/>
    </row>
    <row r="36" spans="1:57" s="96" customFormat="1" ht="45" customHeight="1" x14ac:dyDescent="0.25">
      <c r="D36" s="244" t="s">
        <v>128</v>
      </c>
      <c r="E36" s="244"/>
      <c r="F36" s="95"/>
      <c r="G36" s="245" t="s">
        <v>3</v>
      </c>
      <c r="H36" s="245"/>
      <c r="I36" s="18"/>
      <c r="J36" s="245" t="s">
        <v>4</v>
      </c>
      <c r="K36" s="245"/>
      <c r="L36" s="18"/>
      <c r="M36" s="219" t="s">
        <v>5</v>
      </c>
      <c r="N36" s="219"/>
      <c r="O36" s="18"/>
      <c r="P36" s="219" t="s">
        <v>6</v>
      </c>
      <c r="Q36" s="219"/>
      <c r="R36" s="18"/>
      <c r="S36" s="219" t="s">
        <v>7</v>
      </c>
      <c r="T36" s="219"/>
      <c r="U36" s="18"/>
      <c r="V36" s="214" t="s">
        <v>8</v>
      </c>
      <c r="W36" s="214"/>
      <c r="X36" s="52"/>
      <c r="Y36" s="211" t="s">
        <v>9</v>
      </c>
      <c r="Z36" s="211"/>
      <c r="AA36" s="1"/>
      <c r="AB36" s="215" t="s">
        <v>10</v>
      </c>
      <c r="AC36" s="215"/>
      <c r="AD36" s="1"/>
      <c r="AE36" s="211" t="s">
        <v>11</v>
      </c>
      <c r="AF36" s="211"/>
      <c r="AG36" s="1"/>
      <c r="AH36" s="211" t="s">
        <v>12</v>
      </c>
      <c r="AI36" s="211"/>
      <c r="AJ36" s="1"/>
      <c r="AK36" s="211" t="s">
        <v>13</v>
      </c>
      <c r="AL36" s="211"/>
      <c r="AM36" s="1"/>
      <c r="AN36" s="211" t="s">
        <v>14</v>
      </c>
      <c r="AO36" s="211"/>
      <c r="AP36" s="1"/>
      <c r="AQ36" s="212" t="s">
        <v>15</v>
      </c>
      <c r="AR36" s="212"/>
      <c r="AS36" s="1"/>
      <c r="AT36" s="211" t="s">
        <v>16</v>
      </c>
      <c r="AU36" s="211"/>
      <c r="AV36" s="1"/>
      <c r="AW36" s="213" t="s">
        <v>17</v>
      </c>
      <c r="AX36" s="213"/>
      <c r="AY36" s="1"/>
      <c r="AZ36" s="213" t="s">
        <v>18</v>
      </c>
      <c r="BA36" s="213"/>
      <c r="BB36" s="1"/>
      <c r="BC36" s="213" t="s">
        <v>129</v>
      </c>
      <c r="BD36" s="213"/>
      <c r="BE36" s="1"/>
    </row>
    <row r="37" spans="1:57" s="96" customFormat="1" ht="45" customHeight="1" x14ac:dyDescent="0.25">
      <c r="D37" s="195" t="s">
        <v>130</v>
      </c>
      <c r="E37" s="147" t="s">
        <v>131</v>
      </c>
      <c r="F37" s="35"/>
      <c r="G37" s="151" t="s">
        <v>130</v>
      </c>
      <c r="H37" s="152" t="s">
        <v>131</v>
      </c>
      <c r="I37" s="52"/>
      <c r="J37" s="151" t="s">
        <v>130</v>
      </c>
      <c r="K37" s="152" t="s">
        <v>131</v>
      </c>
      <c r="L37" s="52"/>
      <c r="M37" s="132" t="s">
        <v>130</v>
      </c>
      <c r="N37" s="133" t="s">
        <v>131</v>
      </c>
      <c r="O37" s="52"/>
      <c r="P37" s="132" t="s">
        <v>130</v>
      </c>
      <c r="Q37" s="133" t="s">
        <v>131</v>
      </c>
      <c r="R37" s="52"/>
      <c r="S37" s="132" t="s">
        <v>130</v>
      </c>
      <c r="T37" s="133" t="s">
        <v>131</v>
      </c>
      <c r="U37" s="52"/>
      <c r="V37" s="96" t="s">
        <v>130</v>
      </c>
      <c r="W37" s="95" t="s">
        <v>131</v>
      </c>
      <c r="X37" s="52"/>
      <c r="Y37" s="96" t="s">
        <v>130</v>
      </c>
      <c r="Z37" s="95" t="s">
        <v>131</v>
      </c>
      <c r="AA37" s="52"/>
      <c r="AB37" s="96" t="s">
        <v>130</v>
      </c>
      <c r="AC37" s="95" t="s">
        <v>131</v>
      </c>
      <c r="AD37" s="52"/>
      <c r="AE37" s="96" t="s">
        <v>130</v>
      </c>
      <c r="AF37" s="95" t="s">
        <v>131</v>
      </c>
      <c r="AG37" s="34"/>
      <c r="AH37" s="96" t="s">
        <v>130</v>
      </c>
      <c r="AI37" s="95" t="s">
        <v>131</v>
      </c>
      <c r="AJ37" s="52"/>
      <c r="AK37" s="128" t="s">
        <v>130</v>
      </c>
      <c r="AL37" s="129" t="s">
        <v>131</v>
      </c>
      <c r="AM37" s="52"/>
      <c r="AN37" s="96" t="s">
        <v>130</v>
      </c>
      <c r="AO37" s="95" t="s">
        <v>131</v>
      </c>
      <c r="AP37" s="52"/>
      <c r="AQ37" s="196" t="s">
        <v>130</v>
      </c>
      <c r="AR37" s="142" t="s">
        <v>131</v>
      </c>
      <c r="AS37" s="52"/>
      <c r="AT37" s="197" t="s">
        <v>130</v>
      </c>
      <c r="AU37" s="129" t="s">
        <v>131</v>
      </c>
      <c r="AV37" s="52"/>
      <c r="AW37" s="96" t="s">
        <v>130</v>
      </c>
      <c r="AX37" s="95" t="s">
        <v>131</v>
      </c>
      <c r="AY37" s="52"/>
      <c r="AZ37" s="96" t="s">
        <v>130</v>
      </c>
      <c r="BA37" s="95" t="s">
        <v>131</v>
      </c>
      <c r="BB37" s="52"/>
      <c r="BC37" s="139" t="s">
        <v>130</v>
      </c>
      <c r="BD37" s="95" t="s">
        <v>131</v>
      </c>
      <c r="BE37" s="1"/>
    </row>
    <row r="38" spans="1:57" x14ac:dyDescent="0.25">
      <c r="B38" s="45"/>
      <c r="D38" s="149"/>
      <c r="E38" s="149"/>
      <c r="F38" s="81"/>
      <c r="G38" s="153"/>
      <c r="H38" s="153"/>
      <c r="J38" s="155"/>
      <c r="K38" s="155"/>
      <c r="L38" s="41"/>
      <c r="M38" s="161"/>
      <c r="N38" s="161"/>
      <c r="P38" s="134"/>
      <c r="Q38" s="134"/>
      <c r="S38" s="141"/>
      <c r="T38" s="141"/>
      <c r="V38" s="41"/>
      <c r="W38" s="41"/>
      <c r="Y38" s="41"/>
      <c r="Z38" s="41"/>
      <c r="AB38" s="182"/>
      <c r="AC38" s="182"/>
      <c r="AE38" s="40"/>
      <c r="AF38" s="40"/>
      <c r="AH38" s="40"/>
      <c r="AI38" s="40"/>
      <c r="AK38" s="130"/>
      <c r="AL38" s="130"/>
      <c r="AM38" s="40"/>
      <c r="AN38" s="40"/>
      <c r="AO38" s="40"/>
      <c r="AP38" s="40"/>
      <c r="AQ38" s="144"/>
      <c r="AR38" s="144"/>
      <c r="AS38" s="40"/>
      <c r="AT38" s="146"/>
      <c r="AU38" s="146"/>
      <c r="AV38" s="40"/>
      <c r="AW38" s="76"/>
      <c r="AX38" s="76"/>
      <c r="AY38" s="42"/>
      <c r="AZ38" s="42"/>
      <c r="BA38" s="42"/>
      <c r="BB38" s="42"/>
      <c r="BC38" s="76"/>
      <c r="BD38" s="76"/>
      <c r="BE38" s="42"/>
    </row>
    <row r="39" spans="1:57" ht="39.950000000000003" customHeight="1" x14ac:dyDescent="0.25">
      <c r="A39" s="247" t="s">
        <v>63</v>
      </c>
      <c r="B39" s="247"/>
      <c r="C39" s="247"/>
      <c r="D39" s="162">
        <v>15</v>
      </c>
      <c r="E39" s="162">
        <v>15</v>
      </c>
      <c r="F39" s="81"/>
      <c r="G39" s="153">
        <f>D39*SUM(1+$G$1/$Y$1)</f>
        <v>18</v>
      </c>
      <c r="H39" s="153">
        <f>E39*SUM(1+$G$1/$Y$1)</f>
        <v>18</v>
      </c>
      <c r="J39" s="155">
        <f t="shared" ref="J39:K39" si="54">G39-D39</f>
        <v>3</v>
      </c>
      <c r="K39" s="155">
        <f t="shared" si="54"/>
        <v>3</v>
      </c>
      <c r="L39" s="41"/>
      <c r="M39" s="161">
        <f t="shared" ref="M39:N39" si="55">ROUND(D39*(1+$G$1*2),2)*SUM(1+$M$1)</f>
        <v>19.8</v>
      </c>
      <c r="N39" s="161">
        <f t="shared" si="55"/>
        <v>19.8</v>
      </c>
      <c r="P39" s="134">
        <f t="shared" ref="P39:Q39" si="56">M39-D39</f>
        <v>4.8000000000000007</v>
      </c>
      <c r="Q39" s="134">
        <f t="shared" si="56"/>
        <v>4.8000000000000007</v>
      </c>
      <c r="S39" s="141">
        <f>AK39/G39</f>
        <v>0.1</v>
      </c>
      <c r="T39" s="141">
        <f>AL39/H39</f>
        <v>0.1</v>
      </c>
      <c r="V39" s="41">
        <f>SUM(D39/(1-$Y$1))</f>
        <v>30</v>
      </c>
      <c r="W39" s="41">
        <f>SUM(E39/(1-$Y$1))</f>
        <v>30</v>
      </c>
      <c r="Y39" s="41">
        <f t="shared" ref="Y39:Z39" si="57">ROUND(D39/(1-$Y$1)*1.2,2)</f>
        <v>36</v>
      </c>
      <c r="Z39" s="41">
        <f t="shared" si="57"/>
        <v>36</v>
      </c>
      <c r="AB39" s="182">
        <f t="shared" ref="AB39:AC39" si="58">ROUNDDOWN(D39/(1-$Y$1)*1.2,1)</f>
        <v>36</v>
      </c>
      <c r="AC39" s="182">
        <f t="shared" si="58"/>
        <v>36</v>
      </c>
      <c r="AE39" s="40">
        <f t="shared" ref="AE39:AF39" si="59">AB39/1.2</f>
        <v>30</v>
      </c>
      <c r="AF39" s="40">
        <f t="shared" si="59"/>
        <v>30</v>
      </c>
      <c r="AH39" s="40">
        <f t="shared" ref="AH39:AI39" si="60">Y39-AB39</f>
        <v>0</v>
      </c>
      <c r="AI39" s="40">
        <f t="shared" si="60"/>
        <v>0</v>
      </c>
      <c r="AK39" s="130">
        <f t="shared" ref="AK39" si="61">ROUND(M39*(1-(1/(1+$AL$1))),2)</f>
        <v>1.8</v>
      </c>
      <c r="AL39" s="130">
        <f>ROUND(N39*(1-(1/(1+$AL$1))),2)</f>
        <v>1.8</v>
      </c>
      <c r="AM39" s="40"/>
      <c r="AN39" s="40">
        <f t="shared" ref="AN39" si="62">SUM(V39-G39)-AH39</f>
        <v>12</v>
      </c>
      <c r="AO39" s="40">
        <f t="shared" ref="AO39" si="63">SUM(W39-H39)-AI39</f>
        <v>12</v>
      </c>
      <c r="AP39" s="40"/>
      <c r="AQ39" s="144">
        <f>(SUM(G39-D39)/D39*$Y$1)</f>
        <v>0.1</v>
      </c>
      <c r="AR39" s="144">
        <f>(SUM(H39-E39)/E39*$Y$1)</f>
        <v>0.1</v>
      </c>
      <c r="AS39" s="40"/>
      <c r="AT39" s="146">
        <f>AN39/V39</f>
        <v>0.4</v>
      </c>
      <c r="AU39" s="146">
        <f>AO39/W39</f>
        <v>0.4</v>
      </c>
      <c r="AV39" s="40"/>
      <c r="AW39" s="76">
        <f>D39/V39</f>
        <v>0.5</v>
      </c>
      <c r="AX39" s="76">
        <f>E39/W39</f>
        <v>0.5</v>
      </c>
      <c r="AY39" s="42"/>
      <c r="AZ39" s="42">
        <f>J39+AN39</f>
        <v>15</v>
      </c>
      <c r="BA39" s="42">
        <f>K39+AO39</f>
        <v>15</v>
      </c>
      <c r="BB39" s="42"/>
      <c r="BC39" s="76">
        <f>AZ39/(D39/$Y$1)</f>
        <v>0.5</v>
      </c>
      <c r="BD39" s="76">
        <f>BA39/(E39/$Y$1)</f>
        <v>0.5</v>
      </c>
      <c r="BE39" s="42"/>
    </row>
    <row r="40" spans="1:57" x14ac:dyDescent="0.25">
      <c r="A40" s="52"/>
      <c r="B40" s="52"/>
      <c r="C40" s="98"/>
      <c r="D40" s="52"/>
      <c r="E40" s="52"/>
      <c r="F40" s="40"/>
    </row>
    <row r="41" spans="1:57" x14ac:dyDescent="0.25">
      <c r="A41" s="45" t="s">
        <v>64</v>
      </c>
      <c r="B41" s="45" t="s">
        <v>65</v>
      </c>
      <c r="C41" s="45" t="s">
        <v>66</v>
      </c>
    </row>
    <row r="42" spans="1:57" s="122" customFormat="1" ht="30" customHeight="1" x14ac:dyDescent="0.25">
      <c r="A42" s="120"/>
      <c r="B42" s="121" t="s">
        <v>67</v>
      </c>
      <c r="C42" s="248" t="s">
        <v>68</v>
      </c>
      <c r="D42" s="248"/>
      <c r="E42" s="248"/>
      <c r="F42" s="248"/>
      <c r="G42" s="248"/>
      <c r="H42" s="248"/>
      <c r="I42" s="248"/>
      <c r="J42" s="248"/>
      <c r="K42" s="248"/>
      <c r="L42" s="248"/>
      <c r="M42" s="248"/>
    </row>
    <row r="43" spans="1:57" s="122" customFormat="1" ht="30" customHeight="1" x14ac:dyDescent="0.25">
      <c r="A43" s="120"/>
      <c r="B43" s="121"/>
      <c r="C43" s="248"/>
      <c r="D43" s="248"/>
      <c r="E43" s="248"/>
      <c r="F43" s="248"/>
      <c r="G43" s="248"/>
      <c r="H43" s="248"/>
      <c r="I43" s="248"/>
      <c r="J43" s="248"/>
      <c r="K43" s="248"/>
      <c r="L43" s="248"/>
      <c r="M43" s="248"/>
    </row>
    <row r="44" spans="1:57" x14ac:dyDescent="0.25">
      <c r="B44" s="45" t="s">
        <v>69</v>
      </c>
      <c r="C44" s="45" t="s">
        <v>70</v>
      </c>
      <c r="G44" s="40"/>
    </row>
    <row r="45" spans="1:57" x14ac:dyDescent="0.25">
      <c r="B45" s="45" t="s">
        <v>71</v>
      </c>
      <c r="C45" s="45" t="s">
        <v>72</v>
      </c>
      <c r="G45" s="40"/>
    </row>
    <row r="46" spans="1:57" x14ac:dyDescent="0.25">
      <c r="A46" s="52"/>
      <c r="B46" s="52"/>
      <c r="C46" s="98"/>
      <c r="D46" s="52"/>
      <c r="E46" s="52"/>
      <c r="F46" s="40"/>
    </row>
    <row r="47" spans="1:57" x14ac:dyDescent="0.25">
      <c r="A47" s="46" t="s">
        <v>73</v>
      </c>
      <c r="B47" s="1" t="s">
        <v>74</v>
      </c>
      <c r="C47" s="46" t="s">
        <v>75</v>
      </c>
      <c r="D47" s="25"/>
      <c r="F47" s="47"/>
    </row>
    <row r="48" spans="1:57" x14ac:dyDescent="0.25">
      <c r="A48" s="25"/>
      <c r="B48" s="1" t="s">
        <v>76</v>
      </c>
      <c r="C48" s="47" t="s">
        <v>77</v>
      </c>
      <c r="D48" s="25"/>
      <c r="F48" s="47"/>
    </row>
    <row r="49" spans="1:12" x14ac:dyDescent="0.25">
      <c r="A49" s="25"/>
      <c r="B49" s="1" t="s">
        <v>78</v>
      </c>
      <c r="C49" s="47" t="s">
        <v>79</v>
      </c>
      <c r="D49" s="25"/>
      <c r="F49" s="47"/>
    </row>
    <row r="50" spans="1:12" x14ac:dyDescent="0.25">
      <c r="A50" s="25"/>
      <c r="B50" s="1" t="s">
        <v>80</v>
      </c>
      <c r="C50" s="47" t="s">
        <v>81</v>
      </c>
      <c r="D50" s="25"/>
      <c r="F50" s="47"/>
    </row>
    <row r="51" spans="1:12" x14ac:dyDescent="0.25">
      <c r="F51" s="52"/>
      <c r="G51" s="52"/>
      <c r="H51" s="52"/>
      <c r="I51" s="52"/>
      <c r="J51" s="52"/>
      <c r="K51" s="52"/>
      <c r="L51" s="52"/>
    </row>
    <row r="52" spans="1:12" x14ac:dyDescent="0.25">
      <c r="A52" s="1" t="s">
        <v>82</v>
      </c>
      <c r="C52" s="1" t="s">
        <v>83</v>
      </c>
      <c r="F52" s="99"/>
      <c r="G52" s="99"/>
      <c r="H52" s="99"/>
      <c r="I52" s="99"/>
      <c r="J52" s="99"/>
      <c r="K52" s="99"/>
      <c r="L52" s="99"/>
    </row>
    <row r="53" spans="1:12" x14ac:dyDescent="0.25">
      <c r="A53" s="99"/>
      <c r="F53" s="99"/>
      <c r="G53" s="99"/>
      <c r="H53" s="99"/>
      <c r="I53" s="99"/>
      <c r="J53" s="99"/>
      <c r="K53" s="99"/>
      <c r="L53" s="99"/>
    </row>
    <row r="54" spans="1:12" x14ac:dyDescent="0.25">
      <c r="A54" s="52" t="s">
        <v>84</v>
      </c>
      <c r="B54" s="52"/>
      <c r="C54" s="52"/>
      <c r="D54" s="52"/>
      <c r="E54" s="52"/>
      <c r="F54" s="99"/>
      <c r="G54" s="99"/>
      <c r="H54" s="99"/>
      <c r="I54" s="99"/>
      <c r="J54" s="99"/>
      <c r="K54" s="99"/>
      <c r="L54" s="99"/>
    </row>
  </sheetData>
  <mergeCells count="40">
    <mergeCell ref="D2:E2"/>
    <mergeCell ref="G2:H2"/>
    <mergeCell ref="J2:K2"/>
    <mergeCell ref="M2:N2"/>
    <mergeCell ref="P2:Q2"/>
    <mergeCell ref="AZ2:BA2"/>
    <mergeCell ref="BC2:BD2"/>
    <mergeCell ref="V2:W2"/>
    <mergeCell ref="Y2:Z2"/>
    <mergeCell ref="AB2:AC2"/>
    <mergeCell ref="AE2:AF2"/>
    <mergeCell ref="AH2:AI2"/>
    <mergeCell ref="AK2:AL2"/>
    <mergeCell ref="M36:N36"/>
    <mergeCell ref="AN2:AO2"/>
    <mergeCell ref="AQ2:AR2"/>
    <mergeCell ref="AT2:AU2"/>
    <mergeCell ref="AW2:AX2"/>
    <mergeCell ref="S2:T2"/>
    <mergeCell ref="B30:E30"/>
    <mergeCell ref="B31:F31"/>
    <mergeCell ref="D36:E36"/>
    <mergeCell ref="G36:H36"/>
    <mergeCell ref="J36:K36"/>
    <mergeCell ref="AZ36:BA36"/>
    <mergeCell ref="BC36:BD36"/>
    <mergeCell ref="A39:C39"/>
    <mergeCell ref="C42:M43"/>
    <mergeCell ref="AH36:AI36"/>
    <mergeCell ref="AK36:AL36"/>
    <mergeCell ref="AN36:AO36"/>
    <mergeCell ref="AQ36:AR36"/>
    <mergeCell ref="AT36:AU36"/>
    <mergeCell ref="AW36:AX36"/>
    <mergeCell ref="P36:Q36"/>
    <mergeCell ref="S36:T36"/>
    <mergeCell ref="V36:W36"/>
    <mergeCell ref="Y36:Z36"/>
    <mergeCell ref="AB36:AC36"/>
    <mergeCell ref="AE36:AF3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85A7E-C6DF-428F-B047-A48A38C92FA9}">
  <sheetPr>
    <tabColor theme="0" tint="-0.14999847407452621"/>
  </sheetPr>
  <dimension ref="A1:BE58"/>
  <sheetViews>
    <sheetView zoomScale="85" zoomScaleNormal="8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B5" sqref="AB5:AC20"/>
    </sheetView>
  </sheetViews>
  <sheetFormatPr defaultColWidth="8.85546875" defaultRowHeight="15" x14ac:dyDescent="0.25"/>
  <cols>
    <col min="1" max="1" width="35.7109375" style="1" customWidth="1"/>
    <col min="2" max="2" width="8.85546875" style="1" customWidth="1"/>
    <col min="3" max="3" width="32.140625" style="1" customWidth="1"/>
    <col min="4" max="5" width="10" style="1" customWidth="1"/>
    <col min="6" max="6" width="3.7109375" style="1" customWidth="1"/>
    <col min="7" max="8" width="9.7109375" style="1" customWidth="1"/>
    <col min="9" max="9" width="3.7109375" style="1" customWidth="1"/>
    <col min="10" max="11" width="9.7109375" style="1" customWidth="1"/>
    <col min="12" max="12" width="3.7109375" style="1" customWidth="1"/>
    <col min="13" max="13" width="13" style="1" customWidth="1"/>
    <col min="14" max="14" width="11.85546875" style="1" bestFit="1" customWidth="1"/>
    <col min="15" max="15" width="3.7109375" style="1" customWidth="1"/>
    <col min="16" max="17" width="9.7109375" style="1" customWidth="1"/>
    <col min="18" max="18" width="3.7109375" style="1" customWidth="1"/>
    <col min="19" max="20" width="9.7109375" style="1" customWidth="1"/>
    <col min="21" max="21" width="5.140625" style="1" customWidth="1"/>
    <col min="22" max="22" width="12.42578125" style="1" customWidth="1"/>
    <col min="23" max="23" width="11.85546875" style="1" customWidth="1"/>
    <col min="24" max="24" width="6.140625" style="1" customWidth="1"/>
    <col min="25" max="25" width="12.42578125" style="1" customWidth="1"/>
    <col min="26" max="26" width="11.85546875" style="1" customWidth="1"/>
    <col min="27" max="27" width="3.7109375" style="1" customWidth="1"/>
    <col min="28" max="29" width="9.7109375" style="1" customWidth="1"/>
    <col min="30" max="30" width="3.7109375" style="1" customWidth="1"/>
    <col min="31" max="32" width="9.7109375" style="1" customWidth="1"/>
    <col min="33" max="33" width="3.7109375" style="1" customWidth="1"/>
    <col min="34" max="35" width="9.7109375" style="1" customWidth="1"/>
    <col min="36" max="36" width="3.7109375" style="1" customWidth="1"/>
    <col min="37" max="38" width="9.7109375" style="1" customWidth="1"/>
    <col min="39" max="39" width="3.7109375" style="1" customWidth="1"/>
    <col min="40" max="41" width="9.7109375" style="1" customWidth="1"/>
    <col min="42" max="42" width="3.7109375" style="1" customWidth="1"/>
    <col min="43" max="44" width="9.7109375" style="1" customWidth="1"/>
    <col min="45" max="45" width="3.7109375" style="1" customWidth="1"/>
    <col min="46" max="47" width="9.7109375" style="1" customWidth="1"/>
    <col min="48" max="48" width="3.7109375" style="1" customWidth="1"/>
    <col min="49" max="50" width="9.7109375" style="1" customWidth="1"/>
    <col min="51" max="51" width="3.7109375" style="1" customWidth="1"/>
    <col min="52" max="53" width="9.7109375" style="1" customWidth="1"/>
    <col min="54" max="54" width="3.7109375" style="1" customWidth="1"/>
    <col min="55" max="55" width="11.85546875" style="1" customWidth="1"/>
    <col min="56" max="56" width="10.42578125" style="1" customWidth="1"/>
    <col min="57" max="57" width="8.140625" style="1" customWidth="1"/>
    <col min="58" max="16384" width="8.85546875" style="1"/>
  </cols>
  <sheetData>
    <row r="1" spans="1:57" ht="15" customHeight="1" thickBot="1" x14ac:dyDescent="0.3">
      <c r="A1" s="201" t="s">
        <v>198</v>
      </c>
      <c r="C1" s="171" t="s">
        <v>0</v>
      </c>
      <c r="D1" s="163">
        <v>0.09</v>
      </c>
      <c r="E1" s="163">
        <v>0.17499999999999999</v>
      </c>
      <c r="F1" s="18"/>
      <c r="G1" s="194">
        <v>0.1</v>
      </c>
      <c r="H1" s="170" t="s">
        <v>1</v>
      </c>
      <c r="I1" s="18"/>
      <c r="J1" s="18"/>
      <c r="K1" s="18"/>
      <c r="L1" s="18"/>
      <c r="M1" s="92">
        <v>0.1</v>
      </c>
      <c r="N1" s="18"/>
      <c r="O1" s="18"/>
      <c r="P1" s="18"/>
      <c r="Q1" s="18"/>
      <c r="R1" s="18"/>
      <c r="S1" s="18"/>
      <c r="T1" s="18"/>
      <c r="U1" s="18"/>
      <c r="V1" s="92"/>
      <c r="W1" s="18"/>
      <c r="X1" s="92"/>
      <c r="Y1" s="91">
        <v>0.5</v>
      </c>
      <c r="Z1" s="18"/>
      <c r="AL1" s="83">
        <v>0.1</v>
      </c>
    </row>
    <row r="2" spans="1:57" ht="48" customHeight="1" x14ac:dyDescent="0.25">
      <c r="A2" s="4"/>
      <c r="D2" s="244" t="s">
        <v>128</v>
      </c>
      <c r="E2" s="244"/>
      <c r="F2" s="95"/>
      <c r="G2" s="245" t="s">
        <v>3</v>
      </c>
      <c r="H2" s="245"/>
      <c r="I2" s="18"/>
      <c r="J2" s="245" t="s">
        <v>4</v>
      </c>
      <c r="K2" s="245"/>
      <c r="L2" s="18"/>
      <c r="M2" s="219" t="s">
        <v>5</v>
      </c>
      <c r="N2" s="219"/>
      <c r="O2" s="18"/>
      <c r="P2" s="219" t="s">
        <v>6</v>
      </c>
      <c r="Q2" s="219"/>
      <c r="R2" s="18"/>
      <c r="S2" s="219" t="s">
        <v>7</v>
      </c>
      <c r="T2" s="219"/>
      <c r="U2" s="18"/>
      <c r="V2" s="214" t="s">
        <v>8</v>
      </c>
      <c r="W2" s="214"/>
      <c r="X2" s="52"/>
      <c r="Y2" s="211" t="s">
        <v>9</v>
      </c>
      <c r="Z2" s="211"/>
      <c r="AB2" s="215" t="s">
        <v>10</v>
      </c>
      <c r="AC2" s="215"/>
      <c r="AE2" s="211" t="s">
        <v>11</v>
      </c>
      <c r="AF2" s="211"/>
      <c r="AH2" s="211" t="s">
        <v>12</v>
      </c>
      <c r="AI2" s="211"/>
      <c r="AK2" s="211" t="s">
        <v>13</v>
      </c>
      <c r="AL2" s="211"/>
      <c r="AN2" s="211" t="s">
        <v>14</v>
      </c>
      <c r="AO2" s="211"/>
      <c r="AQ2" s="212" t="s">
        <v>15</v>
      </c>
      <c r="AR2" s="212"/>
      <c r="AT2" s="211" t="s">
        <v>16</v>
      </c>
      <c r="AU2" s="211"/>
      <c r="AW2" s="213" t="s">
        <v>17</v>
      </c>
      <c r="AX2" s="213"/>
      <c r="AZ2" s="213" t="s">
        <v>18</v>
      </c>
      <c r="BA2" s="213"/>
      <c r="BC2" s="213" t="s">
        <v>129</v>
      </c>
      <c r="BD2" s="213"/>
    </row>
    <row r="3" spans="1:57" s="52" customFormat="1" ht="102" customHeight="1" thickBot="1" x14ac:dyDescent="0.3">
      <c r="A3" s="97"/>
      <c r="D3" s="195" t="s">
        <v>130</v>
      </c>
      <c r="E3" s="147" t="s">
        <v>131</v>
      </c>
      <c r="F3" s="35"/>
      <c r="G3" s="151" t="s">
        <v>130</v>
      </c>
      <c r="H3" s="152" t="s">
        <v>131</v>
      </c>
      <c r="J3" s="151" t="s">
        <v>130</v>
      </c>
      <c r="K3" s="152" t="s">
        <v>131</v>
      </c>
      <c r="M3" s="132" t="s">
        <v>130</v>
      </c>
      <c r="N3" s="133" t="s">
        <v>131</v>
      </c>
      <c r="P3" s="132" t="s">
        <v>130</v>
      </c>
      <c r="Q3" s="133" t="s">
        <v>131</v>
      </c>
      <c r="S3" s="132" t="s">
        <v>130</v>
      </c>
      <c r="T3" s="133" t="s">
        <v>131</v>
      </c>
      <c r="V3" s="96" t="s">
        <v>130</v>
      </c>
      <c r="W3" s="95" t="s">
        <v>131</v>
      </c>
      <c r="Y3" s="96" t="s">
        <v>130</v>
      </c>
      <c r="Z3" s="95" t="s">
        <v>131</v>
      </c>
      <c r="AB3" s="96" t="s">
        <v>130</v>
      </c>
      <c r="AC3" s="95" t="s">
        <v>131</v>
      </c>
      <c r="AE3" s="96" t="s">
        <v>130</v>
      </c>
      <c r="AF3" s="95" t="s">
        <v>131</v>
      </c>
      <c r="AG3" s="34"/>
      <c r="AH3" s="96" t="s">
        <v>130</v>
      </c>
      <c r="AI3" s="95" t="s">
        <v>131</v>
      </c>
      <c r="AK3" s="128" t="s">
        <v>130</v>
      </c>
      <c r="AL3" s="129" t="s">
        <v>131</v>
      </c>
      <c r="AN3" s="96" t="s">
        <v>130</v>
      </c>
      <c r="AO3" s="95" t="s">
        <v>131</v>
      </c>
      <c r="AQ3" s="196" t="s">
        <v>130</v>
      </c>
      <c r="AR3" s="142" t="s">
        <v>131</v>
      </c>
      <c r="AT3" s="197" t="s">
        <v>130</v>
      </c>
      <c r="AU3" s="129" t="s">
        <v>131</v>
      </c>
      <c r="AW3" s="96" t="s">
        <v>130</v>
      </c>
      <c r="AX3" s="95" t="s">
        <v>131</v>
      </c>
      <c r="AZ3" s="96" t="s">
        <v>130</v>
      </c>
      <c r="BA3" s="95" t="s">
        <v>131</v>
      </c>
      <c r="BC3" s="139" t="s">
        <v>130</v>
      </c>
      <c r="BD3" s="95" t="s">
        <v>131</v>
      </c>
    </row>
    <row r="4" spans="1:57" ht="15.75" thickBot="1" x14ac:dyDescent="0.3">
      <c r="A4" s="167" t="s">
        <v>132</v>
      </c>
      <c r="B4" s="163">
        <v>0.1</v>
      </c>
      <c r="D4" s="137"/>
      <c r="E4" s="148"/>
      <c r="F4" s="39"/>
      <c r="G4" s="138"/>
      <c r="H4" s="138"/>
      <c r="J4" s="154"/>
      <c r="K4" s="154"/>
      <c r="M4" s="123"/>
      <c r="N4" s="123"/>
      <c r="P4" s="123"/>
      <c r="Q4" s="123"/>
      <c r="S4" s="140"/>
      <c r="T4" s="140"/>
      <c r="V4" s="75"/>
      <c r="AK4" s="131"/>
      <c r="AL4" s="131"/>
      <c r="AQ4" s="143"/>
      <c r="AR4" s="143"/>
      <c r="AT4" s="131"/>
      <c r="AU4" s="131"/>
    </row>
    <row r="5" spans="1:57" x14ac:dyDescent="0.25">
      <c r="A5" t="s">
        <v>133</v>
      </c>
      <c r="D5" s="162">
        <f>ROUND('AMT Silver Inc Cruise 24Feb26'!D5*(1+$B$4)*(1+D$1),2)</f>
        <v>42.01</v>
      </c>
      <c r="E5" s="162">
        <f>ROUND('AMT Silver Inc Cruise 24Feb26'!E5*(1+$B$4)*(1+E$1),2)</f>
        <v>81.569999999999993</v>
      </c>
      <c r="F5" s="81"/>
      <c r="G5" s="153">
        <f t="shared" ref="G5:H8" si="0">D5*SUM(1+$G$1/$Y$1)</f>
        <v>50.411999999999999</v>
      </c>
      <c r="H5" s="153">
        <f t="shared" si="0"/>
        <v>97.883999999999986</v>
      </c>
      <c r="I5" s="83"/>
      <c r="J5" s="155">
        <f>G5-D5</f>
        <v>8.402000000000001</v>
      </c>
      <c r="K5" s="155">
        <f>H5-E5</f>
        <v>16.313999999999993</v>
      </c>
      <c r="L5" s="83"/>
      <c r="M5" s="134">
        <f>ROUND(D5*(1+$G$1*2),2)*SUM(1+$M$1)</f>
        <v>55.451000000000001</v>
      </c>
      <c r="N5" s="134">
        <f>ROUND(E5*(1+$G$1*2),2)*SUM(1+$M$1)</f>
        <v>107.66800000000001</v>
      </c>
      <c r="P5" s="134">
        <f>M5-D5</f>
        <v>13.441000000000003</v>
      </c>
      <c r="Q5" s="134">
        <f>N5-E5</f>
        <v>26.098000000000013</v>
      </c>
      <c r="S5" s="141">
        <f t="shared" ref="S5:T8" si="1">AK5/G5</f>
        <v>9.9976196143775301E-2</v>
      </c>
      <c r="T5" s="141">
        <f t="shared" si="1"/>
        <v>0.10001634587879532</v>
      </c>
      <c r="V5" s="41">
        <f t="shared" ref="V5:W8" si="2">SUM(D5/(1-$Y$1))</f>
        <v>84.02</v>
      </c>
      <c r="W5" s="41">
        <f t="shared" si="2"/>
        <v>163.13999999999999</v>
      </c>
      <c r="X5" s="82"/>
      <c r="Y5" s="41">
        <f>ROUND(D5/(1-$Y$1)*1.2,2)</f>
        <v>100.82</v>
      </c>
      <c r="Z5" s="41">
        <f>ROUND(E5/(1-$Y$1)*1.2,2)</f>
        <v>195.77</v>
      </c>
      <c r="AB5" s="182">
        <f>ROUNDDOWN(D5/(1-$Y$1)*1.2,1)</f>
        <v>100.8</v>
      </c>
      <c r="AC5" s="182">
        <f>ROUNDDOWN(E5/(1-$Y$1)*1.2,1)</f>
        <v>195.7</v>
      </c>
      <c r="AE5" s="40">
        <f>AB5/1.2</f>
        <v>84</v>
      </c>
      <c r="AF5" s="40">
        <f>AC5/1.2</f>
        <v>163.08333333333334</v>
      </c>
      <c r="AH5" s="40">
        <f>Y5-AB5</f>
        <v>1.9999999999996021E-2</v>
      </c>
      <c r="AI5" s="40">
        <f>Z5-AC5</f>
        <v>7.00000000000216E-2</v>
      </c>
      <c r="AK5" s="130">
        <f t="shared" ref="AK5:AL8" si="3">ROUND(M5*(1-(1/(1+$AL$1))),2)</f>
        <v>5.04</v>
      </c>
      <c r="AL5" s="130">
        <f t="shared" si="3"/>
        <v>9.7899999999999991</v>
      </c>
      <c r="AM5" s="40"/>
      <c r="AN5" s="40">
        <f>SUM(V5-G5)-AH5</f>
        <v>33.588000000000001</v>
      </c>
      <c r="AO5" s="40">
        <f>SUM(W5-H5)-AI5</f>
        <v>65.185999999999979</v>
      </c>
      <c r="AP5" s="40"/>
      <c r="AQ5" s="144">
        <f t="shared" ref="AQ5:AR8" si="4">(SUM(G5-D5)/D5*$Y$1)</f>
        <v>0.10000000000000002</v>
      </c>
      <c r="AR5" s="144">
        <f t="shared" si="4"/>
        <v>9.9999999999999964E-2</v>
      </c>
      <c r="AS5" s="40"/>
      <c r="AT5" s="146">
        <f t="shared" ref="AT5:AU8" si="5">AN5/V5</f>
        <v>0.39976196143775294</v>
      </c>
      <c r="AU5" s="146">
        <f t="shared" si="5"/>
        <v>0.39957092068162303</v>
      </c>
      <c r="AV5" s="40"/>
      <c r="AW5" s="76">
        <f t="shared" ref="AW5:AX8" si="6">D5/V5</f>
        <v>0.5</v>
      </c>
      <c r="AX5" s="76">
        <f t="shared" si="6"/>
        <v>0.5</v>
      </c>
      <c r="AY5" s="42"/>
      <c r="AZ5" s="42">
        <f t="shared" ref="AZ5:BA8" si="7">J5+AN5</f>
        <v>41.99</v>
      </c>
      <c r="BA5" s="42">
        <f t="shared" si="7"/>
        <v>81.499999999999972</v>
      </c>
      <c r="BB5" s="42"/>
      <c r="BC5" s="76">
        <f t="shared" ref="BC5:BD8" si="8">AZ5/(D5/$Y$1)</f>
        <v>0.49976196143775298</v>
      </c>
      <c r="BD5" s="76">
        <f t="shared" si="8"/>
        <v>0.49957092068162301</v>
      </c>
      <c r="BE5" s="42"/>
    </row>
    <row r="6" spans="1:57" x14ac:dyDescent="0.25">
      <c r="A6" t="s">
        <v>134</v>
      </c>
      <c r="D6" s="162">
        <f>ROUND('AMT Silver Inc Cruise 24Feb26'!D6*(1+$B$4)*(1+D$1),2)</f>
        <v>61.94</v>
      </c>
      <c r="E6" s="162">
        <f>ROUND('AMT Silver Inc Cruise 24Feb26'!E6*(1+$B$4)*(1+E$1),2)</f>
        <v>120.03</v>
      </c>
      <c r="F6" s="81"/>
      <c r="G6" s="153">
        <f t="shared" si="0"/>
        <v>74.327999999999989</v>
      </c>
      <c r="H6" s="153">
        <f t="shared" si="0"/>
        <v>144.036</v>
      </c>
      <c r="I6" s="83"/>
      <c r="J6" s="155">
        <f>G6-D6</f>
        <v>12.387999999999991</v>
      </c>
      <c r="K6" s="155">
        <f>H6-E6</f>
        <v>24.006</v>
      </c>
      <c r="L6" s="83"/>
      <c r="M6" s="134">
        <f t="shared" ref="M6:N8" si="9">ROUND(D6*(1+$G$1*2),2)*SUM(1+$M$1)</f>
        <v>81.763000000000005</v>
      </c>
      <c r="N6" s="134">
        <f t="shared" si="9"/>
        <v>158.44400000000002</v>
      </c>
      <c r="P6" s="134">
        <f>M6-D6</f>
        <v>19.823000000000008</v>
      </c>
      <c r="Q6" s="134">
        <f>N6-E6</f>
        <v>38.414000000000016</v>
      </c>
      <c r="S6" s="141">
        <f t="shared" si="1"/>
        <v>9.9962329135722755E-2</v>
      </c>
      <c r="T6" s="141">
        <f t="shared" si="1"/>
        <v>9.9975006248437887E-2</v>
      </c>
      <c r="V6" s="41">
        <f t="shared" si="2"/>
        <v>123.88</v>
      </c>
      <c r="W6" s="41">
        <f t="shared" si="2"/>
        <v>240.06</v>
      </c>
      <c r="X6" s="82"/>
      <c r="Y6" s="41">
        <f t="shared" ref="Y6:Z8" si="10">ROUND(D6/(1-$Y$1)*1.2,2)</f>
        <v>148.66</v>
      </c>
      <c r="Z6" s="41">
        <f t="shared" si="10"/>
        <v>288.07</v>
      </c>
      <c r="AB6" s="182">
        <f t="shared" ref="AB6:AC8" si="11">ROUNDDOWN(D6/(1-$Y$1)*1.2,1)</f>
        <v>148.6</v>
      </c>
      <c r="AC6" s="182">
        <f t="shared" si="11"/>
        <v>288</v>
      </c>
      <c r="AE6" s="40">
        <f t="shared" ref="AE6:AF8" si="12">AB6/1.2</f>
        <v>123.83333333333333</v>
      </c>
      <c r="AF6" s="40">
        <f t="shared" si="12"/>
        <v>240</v>
      </c>
      <c r="AH6" s="40">
        <f t="shared" ref="AH6:AI8" si="13">Y6-AB6</f>
        <v>6.0000000000002274E-2</v>
      </c>
      <c r="AI6" s="40">
        <f t="shared" si="13"/>
        <v>6.9999999999993179E-2</v>
      </c>
      <c r="AK6" s="130">
        <f t="shared" si="3"/>
        <v>7.43</v>
      </c>
      <c r="AL6" s="130">
        <f t="shared" si="3"/>
        <v>14.4</v>
      </c>
      <c r="AM6" s="40"/>
      <c r="AN6" s="40">
        <f t="shared" ref="AN6:AO8" si="14">SUM(V6-G6)-AH6</f>
        <v>49.492000000000004</v>
      </c>
      <c r="AO6" s="40">
        <f t="shared" si="14"/>
        <v>95.954000000000008</v>
      </c>
      <c r="AP6" s="40"/>
      <c r="AQ6" s="144">
        <f t="shared" si="4"/>
        <v>9.9999999999999936E-2</v>
      </c>
      <c r="AR6" s="144">
        <f t="shared" si="4"/>
        <v>0.1</v>
      </c>
      <c r="AS6" s="40"/>
      <c r="AT6" s="146">
        <f t="shared" si="5"/>
        <v>0.39951566031643532</v>
      </c>
      <c r="AU6" s="146">
        <f t="shared" si="5"/>
        <v>0.39970840623177539</v>
      </c>
      <c r="AV6" s="40"/>
      <c r="AW6" s="76">
        <f t="shared" si="6"/>
        <v>0.5</v>
      </c>
      <c r="AX6" s="76">
        <f t="shared" si="6"/>
        <v>0.5</v>
      </c>
      <c r="AY6" s="42"/>
      <c r="AZ6" s="42">
        <f t="shared" si="7"/>
        <v>61.879999999999995</v>
      </c>
      <c r="BA6" s="42">
        <f t="shared" si="7"/>
        <v>119.96000000000001</v>
      </c>
      <c r="BB6" s="42"/>
      <c r="BC6" s="76">
        <f t="shared" si="8"/>
        <v>0.49951566031643524</v>
      </c>
      <c r="BD6" s="76">
        <f t="shared" si="8"/>
        <v>0.49970840623177543</v>
      </c>
      <c r="BE6" s="42"/>
    </row>
    <row r="7" spans="1:57" x14ac:dyDescent="0.25">
      <c r="A7" t="s">
        <v>135</v>
      </c>
      <c r="D7" s="162">
        <f>ROUND('AMT Silver Inc Cruise 24Feb26'!D7*(1+$B$4)*(1+D$1),2)</f>
        <v>69</v>
      </c>
      <c r="E7" s="162">
        <f>ROUND('AMT Silver Inc Cruise 24Feb26'!E7*(1+$B$4)*(1+E$1),2)</f>
        <v>136.75</v>
      </c>
      <c r="F7" s="81"/>
      <c r="G7" s="153">
        <f t="shared" si="0"/>
        <v>82.8</v>
      </c>
      <c r="H7" s="153">
        <f t="shared" si="0"/>
        <v>164.1</v>
      </c>
      <c r="J7" s="155">
        <f t="shared" ref="J7:K8" si="15">G7-D7</f>
        <v>13.799999999999997</v>
      </c>
      <c r="K7" s="155">
        <f t="shared" si="15"/>
        <v>27.349999999999994</v>
      </c>
      <c r="M7" s="134">
        <f t="shared" si="9"/>
        <v>91.08</v>
      </c>
      <c r="N7" s="134">
        <f t="shared" si="9"/>
        <v>180.51000000000002</v>
      </c>
      <c r="P7" s="134">
        <f t="shared" ref="P7:Q8" si="16">M7-D7</f>
        <v>22.08</v>
      </c>
      <c r="Q7" s="134">
        <f t="shared" si="16"/>
        <v>43.760000000000019</v>
      </c>
      <c r="S7" s="141">
        <f t="shared" si="1"/>
        <v>9.9999999999999992E-2</v>
      </c>
      <c r="T7" s="141">
        <f t="shared" si="1"/>
        <v>0.1</v>
      </c>
      <c r="V7" s="41">
        <f t="shared" si="2"/>
        <v>138</v>
      </c>
      <c r="W7" s="41">
        <f t="shared" si="2"/>
        <v>273.5</v>
      </c>
      <c r="Y7" s="41">
        <f t="shared" si="10"/>
        <v>165.6</v>
      </c>
      <c r="Z7" s="41">
        <f t="shared" si="10"/>
        <v>328.2</v>
      </c>
      <c r="AB7" s="182">
        <f t="shared" si="11"/>
        <v>165.6</v>
      </c>
      <c r="AC7" s="182">
        <f t="shared" si="11"/>
        <v>328.2</v>
      </c>
      <c r="AE7" s="40">
        <f t="shared" si="12"/>
        <v>138</v>
      </c>
      <c r="AF7" s="40">
        <f t="shared" si="12"/>
        <v>273.5</v>
      </c>
      <c r="AH7" s="40">
        <f t="shared" si="13"/>
        <v>0</v>
      </c>
      <c r="AI7" s="40">
        <f t="shared" si="13"/>
        <v>0</v>
      </c>
      <c r="AK7" s="130">
        <f t="shared" si="3"/>
        <v>8.2799999999999994</v>
      </c>
      <c r="AL7" s="130">
        <f t="shared" si="3"/>
        <v>16.41</v>
      </c>
      <c r="AM7" s="40"/>
      <c r="AN7" s="40">
        <f t="shared" si="14"/>
        <v>55.2</v>
      </c>
      <c r="AO7" s="40">
        <f t="shared" si="14"/>
        <v>109.4</v>
      </c>
      <c r="AP7" s="40"/>
      <c r="AQ7" s="144">
        <f t="shared" si="4"/>
        <v>9.9999999999999978E-2</v>
      </c>
      <c r="AR7" s="144">
        <f t="shared" si="4"/>
        <v>9.9999999999999978E-2</v>
      </c>
      <c r="AS7" s="40"/>
      <c r="AT7" s="146">
        <f t="shared" si="5"/>
        <v>0.4</v>
      </c>
      <c r="AU7" s="146">
        <f t="shared" si="5"/>
        <v>0.4</v>
      </c>
      <c r="AV7" s="40"/>
      <c r="AW7" s="76">
        <f t="shared" si="6"/>
        <v>0.5</v>
      </c>
      <c r="AX7" s="76">
        <f t="shared" si="6"/>
        <v>0.5</v>
      </c>
      <c r="AY7" s="42"/>
      <c r="AZ7" s="42">
        <f t="shared" si="7"/>
        <v>69</v>
      </c>
      <c r="BA7" s="42">
        <f t="shared" si="7"/>
        <v>136.75</v>
      </c>
      <c r="BB7" s="42"/>
      <c r="BC7" s="76">
        <f t="shared" si="8"/>
        <v>0.5</v>
      </c>
      <c r="BD7" s="76">
        <f t="shared" si="8"/>
        <v>0.5</v>
      </c>
      <c r="BE7" s="42"/>
    </row>
    <row r="8" spans="1:57" x14ac:dyDescent="0.25">
      <c r="A8" t="s">
        <v>136</v>
      </c>
      <c r="D8" s="162">
        <f>ROUND('AMT Silver Inc Cruise 24Feb26'!D8*(1+$B$4)*(1+D$1),2)</f>
        <v>71.84</v>
      </c>
      <c r="E8" s="162">
        <f>ROUND('AMT Silver Inc Cruise 24Feb26'!E8*(1+$B$4)*(1+E$1),2)</f>
        <v>140.84</v>
      </c>
      <c r="F8" s="81"/>
      <c r="G8" s="153">
        <f t="shared" si="0"/>
        <v>86.207999999999998</v>
      </c>
      <c r="H8" s="153">
        <f t="shared" si="0"/>
        <v>169.00800000000001</v>
      </c>
      <c r="J8" s="155">
        <f t="shared" si="15"/>
        <v>14.367999999999995</v>
      </c>
      <c r="K8" s="155">
        <f t="shared" si="15"/>
        <v>28.168000000000006</v>
      </c>
      <c r="M8" s="134">
        <f t="shared" si="9"/>
        <v>94.831000000000003</v>
      </c>
      <c r="N8" s="134">
        <f t="shared" si="9"/>
        <v>185.911</v>
      </c>
      <c r="P8" s="134">
        <f t="shared" si="16"/>
        <v>22.991</v>
      </c>
      <c r="Q8" s="134">
        <f t="shared" si="16"/>
        <v>45.070999999999998</v>
      </c>
      <c r="S8" s="141">
        <f t="shared" si="1"/>
        <v>9.9990720118782475E-2</v>
      </c>
      <c r="T8" s="141">
        <f t="shared" si="1"/>
        <v>9.9995266496260518E-2</v>
      </c>
      <c r="V8" s="41">
        <f t="shared" si="2"/>
        <v>143.68</v>
      </c>
      <c r="W8" s="41">
        <f t="shared" si="2"/>
        <v>281.68</v>
      </c>
      <c r="Y8" s="41">
        <f t="shared" si="10"/>
        <v>172.42</v>
      </c>
      <c r="Z8" s="41">
        <f t="shared" si="10"/>
        <v>338.02</v>
      </c>
      <c r="AB8" s="182">
        <f t="shared" si="11"/>
        <v>172.4</v>
      </c>
      <c r="AC8" s="182">
        <f t="shared" si="11"/>
        <v>338</v>
      </c>
      <c r="AE8" s="40">
        <f t="shared" si="12"/>
        <v>143.66666666666669</v>
      </c>
      <c r="AF8" s="40">
        <f t="shared" si="12"/>
        <v>281.66666666666669</v>
      </c>
      <c r="AH8" s="40">
        <f t="shared" si="13"/>
        <v>1.999999999998181E-2</v>
      </c>
      <c r="AI8" s="40">
        <f t="shared" si="13"/>
        <v>1.999999999998181E-2</v>
      </c>
      <c r="AK8" s="130">
        <f t="shared" si="3"/>
        <v>8.6199999999999992</v>
      </c>
      <c r="AL8" s="130">
        <f t="shared" si="3"/>
        <v>16.899999999999999</v>
      </c>
      <c r="AM8" s="40"/>
      <c r="AN8" s="40">
        <f t="shared" si="14"/>
        <v>57.452000000000027</v>
      </c>
      <c r="AO8" s="40">
        <f t="shared" si="14"/>
        <v>112.65200000000002</v>
      </c>
      <c r="AP8" s="40"/>
      <c r="AQ8" s="144">
        <f t="shared" si="4"/>
        <v>9.9999999999999964E-2</v>
      </c>
      <c r="AR8" s="144">
        <f t="shared" si="4"/>
        <v>0.10000000000000002</v>
      </c>
      <c r="AS8" s="40"/>
      <c r="AT8" s="146">
        <f t="shared" si="5"/>
        <v>0.39986080178173738</v>
      </c>
      <c r="AU8" s="146">
        <f t="shared" si="5"/>
        <v>0.39992899744390803</v>
      </c>
      <c r="AV8" s="40"/>
      <c r="AW8" s="76">
        <f t="shared" si="6"/>
        <v>0.5</v>
      </c>
      <c r="AX8" s="76">
        <f t="shared" si="6"/>
        <v>0.5</v>
      </c>
      <c r="AY8" s="42"/>
      <c r="AZ8" s="42">
        <f t="shared" si="7"/>
        <v>71.820000000000022</v>
      </c>
      <c r="BA8" s="42">
        <f t="shared" si="7"/>
        <v>140.82000000000002</v>
      </c>
      <c r="BB8" s="42"/>
      <c r="BC8" s="76">
        <f t="shared" si="8"/>
        <v>0.49986080178173731</v>
      </c>
      <c r="BD8" s="76">
        <f t="shared" si="8"/>
        <v>0.49992899744390806</v>
      </c>
      <c r="BE8" s="42"/>
    </row>
    <row r="9" spans="1:57" ht="15.75" thickBot="1" x14ac:dyDescent="0.3">
      <c r="A9"/>
      <c r="D9" s="162"/>
      <c r="E9" s="162"/>
      <c r="F9" s="41"/>
      <c r="G9" s="153"/>
      <c r="H9" s="153"/>
      <c r="I9" s="75"/>
      <c r="J9" s="156"/>
      <c r="K9" s="156"/>
      <c r="L9" s="75"/>
      <c r="M9" s="134"/>
      <c r="N9" s="134"/>
      <c r="P9" s="134"/>
      <c r="Q9" s="134"/>
      <c r="S9" s="140"/>
      <c r="T9" s="140"/>
      <c r="V9" s="40"/>
      <c r="W9" s="40"/>
      <c r="Y9" s="41"/>
      <c r="Z9" s="41"/>
      <c r="AK9" s="130"/>
      <c r="AL9" s="130"/>
      <c r="AM9" s="40"/>
      <c r="AN9" s="40"/>
      <c r="AO9" s="40"/>
      <c r="AP9" s="40"/>
      <c r="AQ9" s="145"/>
      <c r="AR9" s="145"/>
      <c r="AS9" s="40"/>
      <c r="AT9" s="146"/>
      <c r="AU9" s="146"/>
      <c r="AV9" s="40"/>
      <c r="AW9" s="76"/>
      <c r="AX9" s="76"/>
      <c r="AY9" s="42"/>
      <c r="AZ9" s="42"/>
      <c r="BA9" s="42"/>
      <c r="BB9" s="42"/>
      <c r="BC9" s="76"/>
      <c r="BD9" s="76"/>
      <c r="BE9" s="42"/>
    </row>
    <row r="10" spans="1:57" ht="15.75" thickBot="1" x14ac:dyDescent="0.3">
      <c r="A10" s="167" t="s">
        <v>137</v>
      </c>
      <c r="B10" s="163">
        <v>0.25</v>
      </c>
      <c r="D10" s="162"/>
      <c r="E10" s="162"/>
      <c r="F10" s="41"/>
      <c r="G10" s="153"/>
      <c r="H10" s="153"/>
      <c r="J10" s="154"/>
      <c r="K10" s="154"/>
      <c r="M10" s="134"/>
      <c r="N10" s="134"/>
      <c r="P10" s="134"/>
      <c r="Q10" s="134"/>
      <c r="S10" s="140"/>
      <c r="T10" s="140"/>
      <c r="V10" s="40"/>
      <c r="W10" s="40"/>
      <c r="Y10" s="41"/>
      <c r="Z10" s="41"/>
      <c r="AK10" s="130"/>
      <c r="AL10" s="130"/>
      <c r="AM10" s="40"/>
      <c r="AN10" s="40"/>
      <c r="AO10" s="40"/>
      <c r="AP10" s="40"/>
      <c r="AQ10" s="145"/>
      <c r="AR10" s="145"/>
      <c r="AS10" s="40"/>
      <c r="AT10" s="146"/>
      <c r="AU10" s="146"/>
      <c r="AV10" s="40"/>
      <c r="AW10" s="76"/>
      <c r="AX10" s="76"/>
      <c r="AY10" s="42"/>
      <c r="AZ10" s="42"/>
      <c r="BA10" s="42"/>
      <c r="BB10" s="42"/>
      <c r="BC10" s="76"/>
      <c r="BD10" s="76"/>
      <c r="BE10" s="42"/>
    </row>
    <row r="11" spans="1:57" x14ac:dyDescent="0.25">
      <c r="A11" t="s">
        <v>133</v>
      </c>
      <c r="D11" s="162">
        <f>ROUND('AMT Silver Inc Cruise 24Feb26'!D11*(1+$B$10)*(1+D$1),2)</f>
        <v>47.74</v>
      </c>
      <c r="E11" s="162">
        <f>ROUND('AMT Silver Inc Cruise 24Feb26'!E11*(1+$B$10)*(1+E$1),2)</f>
        <v>92.69</v>
      </c>
      <c r="F11" s="81"/>
      <c r="G11" s="153">
        <f t="shared" ref="G11:H14" si="17">D11*SUM(1+$G$1/$Y$1)</f>
        <v>57.288000000000004</v>
      </c>
      <c r="H11" s="153">
        <f t="shared" si="17"/>
        <v>111.22799999999999</v>
      </c>
      <c r="J11" s="155">
        <f t="shared" ref="J11:K14" si="18">G11-D11</f>
        <v>9.5480000000000018</v>
      </c>
      <c r="K11" s="155">
        <f t="shared" si="18"/>
        <v>18.537999999999997</v>
      </c>
      <c r="M11" s="134">
        <f>ROUND(D11*(1+$G$1*2),2)*SUM(1+$M$1)</f>
        <v>63.019000000000005</v>
      </c>
      <c r="N11" s="134">
        <f>ROUND(E11*(1+$G$1*2),2)*SUM(1+$M$1)</f>
        <v>122.35300000000001</v>
      </c>
      <c r="P11" s="134">
        <f t="shared" ref="P11:Q14" si="19">M11-D11</f>
        <v>15.279000000000003</v>
      </c>
      <c r="Q11" s="134">
        <f t="shared" si="19"/>
        <v>29.663000000000011</v>
      </c>
      <c r="S11" s="141">
        <f t="shared" ref="S11:T14" si="20">AK11/G11</f>
        <v>0.10002094679514034</v>
      </c>
      <c r="T11" s="141">
        <f t="shared" si="20"/>
        <v>9.9974826482540372E-2</v>
      </c>
      <c r="V11" s="41">
        <f t="shared" ref="V11:W14" si="21">SUM(D11/(1-$Y$1))</f>
        <v>95.48</v>
      </c>
      <c r="W11" s="41">
        <f t="shared" si="21"/>
        <v>185.38</v>
      </c>
      <c r="Y11" s="41">
        <f>ROUND(D11/(1-$Y$1)*1.2,2)</f>
        <v>114.58</v>
      </c>
      <c r="Z11" s="41">
        <f>ROUND(E11/(1-$Y$1)*1.2,2)</f>
        <v>222.46</v>
      </c>
      <c r="AB11" s="182">
        <f t="shared" ref="AB11:AC14" si="22">ROUNDDOWN(D11/(1-$Y$1)*1.2,1)</f>
        <v>114.5</v>
      </c>
      <c r="AC11" s="182">
        <f t="shared" si="22"/>
        <v>222.4</v>
      </c>
      <c r="AE11" s="40">
        <f t="shared" ref="AE11:AF14" si="23">AB11/1.2</f>
        <v>95.416666666666671</v>
      </c>
      <c r="AF11" s="40">
        <f t="shared" si="23"/>
        <v>185.33333333333334</v>
      </c>
      <c r="AH11" s="40">
        <f t="shared" ref="AH11:AI14" si="24">Y11-AB11</f>
        <v>7.9999999999998295E-2</v>
      </c>
      <c r="AI11" s="40">
        <f t="shared" si="24"/>
        <v>6.0000000000002274E-2</v>
      </c>
      <c r="AK11" s="130">
        <f t="shared" ref="AK11:AL14" si="25">ROUND(M11*(1-(1/(1+$AL$1))),2)</f>
        <v>5.73</v>
      </c>
      <c r="AL11" s="130">
        <f t="shared" si="25"/>
        <v>11.12</v>
      </c>
      <c r="AM11" s="40"/>
      <c r="AN11" s="40">
        <f t="shared" ref="AN11:AO14" si="26">SUM(V11-G11)-AH11</f>
        <v>38.112000000000002</v>
      </c>
      <c r="AO11" s="40">
        <f t="shared" si="26"/>
        <v>74.091999999999999</v>
      </c>
      <c r="AP11" s="40"/>
      <c r="AQ11" s="144">
        <f t="shared" ref="AQ11:AR14" si="27">(SUM(G11-D11)/D11*$Y$1)</f>
        <v>0.10000000000000002</v>
      </c>
      <c r="AR11" s="144">
        <f t="shared" si="27"/>
        <v>9.9999999999999978E-2</v>
      </c>
      <c r="AS11" s="40"/>
      <c r="AT11" s="146">
        <f t="shared" ref="AT11:AU14" si="28">AN11/V11</f>
        <v>0.39916212819438623</v>
      </c>
      <c r="AU11" s="146">
        <f t="shared" si="28"/>
        <v>0.39967634048980472</v>
      </c>
      <c r="AV11" s="40"/>
      <c r="AW11" s="76">
        <f t="shared" ref="AW11:AX14" si="29">D11/V11</f>
        <v>0.5</v>
      </c>
      <c r="AX11" s="76">
        <f t="shared" si="29"/>
        <v>0.5</v>
      </c>
      <c r="AY11" s="42"/>
      <c r="AZ11" s="42">
        <f t="shared" ref="AZ11:BA14" si="30">J11+AN11</f>
        <v>47.660000000000004</v>
      </c>
      <c r="BA11" s="42">
        <f t="shared" si="30"/>
        <v>92.63</v>
      </c>
      <c r="BB11" s="42"/>
      <c r="BC11" s="76">
        <f t="shared" ref="BC11:BD14" si="31">AZ11/(D11/$Y$1)</f>
        <v>0.49916212819438627</v>
      </c>
      <c r="BD11" s="76">
        <f t="shared" si="31"/>
        <v>0.49967634048980469</v>
      </c>
      <c r="BE11" s="42"/>
    </row>
    <row r="12" spans="1:57" x14ac:dyDescent="0.25">
      <c r="A12" t="s">
        <v>134</v>
      </c>
      <c r="D12" s="162">
        <f>ROUND('AMT Silver Inc Cruise 24Feb26'!D12*(1+$B$10)*(1+D$1),2)</f>
        <v>70.39</v>
      </c>
      <c r="E12" s="162">
        <f>ROUND('AMT Silver Inc Cruise 24Feb26'!E12*(1+$B$10)*(1+E$1),2)</f>
        <v>136.4</v>
      </c>
      <c r="F12" s="81"/>
      <c r="G12" s="153">
        <f t="shared" si="17"/>
        <v>84.468000000000004</v>
      </c>
      <c r="H12" s="153">
        <f t="shared" si="17"/>
        <v>163.68</v>
      </c>
      <c r="J12" s="155">
        <f t="shared" si="18"/>
        <v>14.078000000000003</v>
      </c>
      <c r="K12" s="155">
        <f t="shared" si="18"/>
        <v>27.28</v>
      </c>
      <c r="M12" s="134">
        <f>ROUND(D12*(1+$G$1*2),2)*SUM(1+$M$1)</f>
        <v>92.917000000000002</v>
      </c>
      <c r="N12" s="134">
        <f t="shared" ref="M12:N14" si="32">ROUND(E12*(1+$G$1*2),2)*SUM(1+$M$1)</f>
        <v>180.04800000000003</v>
      </c>
      <c r="P12" s="134">
        <f t="shared" si="19"/>
        <v>22.527000000000001</v>
      </c>
      <c r="Q12" s="134">
        <f t="shared" si="19"/>
        <v>43.648000000000025</v>
      </c>
      <c r="S12" s="141">
        <f t="shared" si="20"/>
        <v>0.1000378841691528</v>
      </c>
      <c r="T12" s="141">
        <f t="shared" si="20"/>
        <v>0.10001221896383188</v>
      </c>
      <c r="V12" s="41">
        <f t="shared" si="21"/>
        <v>140.78</v>
      </c>
      <c r="W12" s="41">
        <f t="shared" si="21"/>
        <v>272.8</v>
      </c>
      <c r="Y12" s="41">
        <f t="shared" ref="Y12:Z14" si="33">ROUND(D12/(1-$Y$1)*1.2,2)</f>
        <v>168.94</v>
      </c>
      <c r="Z12" s="41">
        <f t="shared" si="33"/>
        <v>327.36</v>
      </c>
      <c r="AB12" s="182">
        <f t="shared" si="22"/>
        <v>168.9</v>
      </c>
      <c r="AC12" s="182">
        <f t="shared" si="22"/>
        <v>327.3</v>
      </c>
      <c r="AE12" s="40">
        <f t="shared" si="23"/>
        <v>140.75</v>
      </c>
      <c r="AF12" s="40">
        <f t="shared" si="23"/>
        <v>272.75</v>
      </c>
      <c r="AH12" s="40">
        <f t="shared" si="24"/>
        <v>3.9999999999992042E-2</v>
      </c>
      <c r="AI12" s="40">
        <f t="shared" si="24"/>
        <v>6.0000000000002274E-2</v>
      </c>
      <c r="AK12" s="130">
        <f t="shared" si="25"/>
        <v>8.4499999999999993</v>
      </c>
      <c r="AL12" s="130">
        <f t="shared" si="25"/>
        <v>16.37</v>
      </c>
      <c r="AM12" s="40"/>
      <c r="AN12" s="40">
        <f t="shared" si="26"/>
        <v>56.272000000000006</v>
      </c>
      <c r="AO12" s="40">
        <f t="shared" si="26"/>
        <v>109.06</v>
      </c>
      <c r="AP12" s="40"/>
      <c r="AQ12" s="144">
        <f t="shared" si="27"/>
        <v>0.10000000000000002</v>
      </c>
      <c r="AR12" s="144">
        <f t="shared" si="27"/>
        <v>0.1</v>
      </c>
      <c r="AS12" s="40"/>
      <c r="AT12" s="146">
        <f t="shared" si="28"/>
        <v>0.3997158687313539</v>
      </c>
      <c r="AU12" s="146">
        <f t="shared" si="28"/>
        <v>0.39978005865102639</v>
      </c>
      <c r="AV12" s="40"/>
      <c r="AW12" s="76">
        <f t="shared" si="29"/>
        <v>0.5</v>
      </c>
      <c r="AX12" s="76">
        <f t="shared" si="29"/>
        <v>0.5</v>
      </c>
      <c r="AY12" s="42"/>
      <c r="AZ12" s="42">
        <f t="shared" si="30"/>
        <v>70.350000000000009</v>
      </c>
      <c r="BA12" s="42">
        <f t="shared" si="30"/>
        <v>136.34</v>
      </c>
      <c r="BB12" s="42"/>
      <c r="BC12" s="76">
        <f t="shared" si="31"/>
        <v>0.49971586873135393</v>
      </c>
      <c r="BD12" s="76">
        <f t="shared" si="31"/>
        <v>0.49978005865102637</v>
      </c>
      <c r="BE12" s="42"/>
    </row>
    <row r="13" spans="1:57" x14ac:dyDescent="0.25">
      <c r="A13" t="s">
        <v>135</v>
      </c>
      <c r="D13" s="162">
        <f>ROUND('AMT Silver Inc Cruise 24Feb26'!D13*(1+$B$10)*(1+D$1),2)</f>
        <v>78.41</v>
      </c>
      <c r="E13" s="162">
        <f>ROUND('AMT Silver Inc Cruise 24Feb26'!E13*(1+$B$10)*(1+E$1),2)</f>
        <v>155.38999999999999</v>
      </c>
      <c r="F13" s="81"/>
      <c r="G13" s="153">
        <f t="shared" si="17"/>
        <v>94.091999999999999</v>
      </c>
      <c r="H13" s="153">
        <f t="shared" si="17"/>
        <v>186.46799999999999</v>
      </c>
      <c r="J13" s="155">
        <f t="shared" si="18"/>
        <v>15.682000000000002</v>
      </c>
      <c r="K13" s="155">
        <f t="shared" si="18"/>
        <v>31.078000000000003</v>
      </c>
      <c r="M13" s="134">
        <f t="shared" si="32"/>
        <v>103.49900000000001</v>
      </c>
      <c r="N13" s="134">
        <f t="shared" si="32"/>
        <v>205.11700000000002</v>
      </c>
      <c r="P13" s="134">
        <f t="shared" si="19"/>
        <v>25.089000000000013</v>
      </c>
      <c r="Q13" s="134">
        <f t="shared" si="19"/>
        <v>49.727000000000032</v>
      </c>
      <c r="S13" s="141">
        <f t="shared" si="20"/>
        <v>0.10000850231688135</v>
      </c>
      <c r="T13" s="141">
        <f t="shared" si="20"/>
        <v>0.10001716112147929</v>
      </c>
      <c r="V13" s="41">
        <f t="shared" si="21"/>
        <v>156.82</v>
      </c>
      <c r="W13" s="41">
        <f t="shared" si="21"/>
        <v>310.77999999999997</v>
      </c>
      <c r="Y13" s="41">
        <f t="shared" si="33"/>
        <v>188.18</v>
      </c>
      <c r="Z13" s="41">
        <f t="shared" si="33"/>
        <v>372.94</v>
      </c>
      <c r="AB13" s="182">
        <f t="shared" si="22"/>
        <v>188.1</v>
      </c>
      <c r="AC13" s="182">
        <f t="shared" si="22"/>
        <v>372.9</v>
      </c>
      <c r="AE13" s="40">
        <f t="shared" si="23"/>
        <v>156.75</v>
      </c>
      <c r="AF13" s="40">
        <f t="shared" si="23"/>
        <v>310.75</v>
      </c>
      <c r="AH13" s="40">
        <f t="shared" si="24"/>
        <v>8.0000000000012506E-2</v>
      </c>
      <c r="AI13" s="40">
        <f t="shared" si="24"/>
        <v>4.0000000000020464E-2</v>
      </c>
      <c r="AK13" s="130">
        <f t="shared" si="25"/>
        <v>9.41</v>
      </c>
      <c r="AL13" s="130">
        <f t="shared" si="25"/>
        <v>18.649999999999999</v>
      </c>
      <c r="AM13" s="40"/>
      <c r="AN13" s="40">
        <f t="shared" si="26"/>
        <v>62.647999999999982</v>
      </c>
      <c r="AO13" s="40">
        <f t="shared" si="26"/>
        <v>124.27199999999996</v>
      </c>
      <c r="AP13" s="40"/>
      <c r="AQ13" s="144">
        <f t="shared" si="27"/>
        <v>0.10000000000000002</v>
      </c>
      <c r="AR13" s="144">
        <f t="shared" si="27"/>
        <v>0.10000000000000002</v>
      </c>
      <c r="AS13" s="40"/>
      <c r="AT13" s="146">
        <f t="shared" si="28"/>
        <v>0.39948986098711892</v>
      </c>
      <c r="AU13" s="146">
        <f t="shared" si="28"/>
        <v>0.39987129158890528</v>
      </c>
      <c r="AV13" s="40"/>
      <c r="AW13" s="76">
        <f t="shared" si="29"/>
        <v>0.5</v>
      </c>
      <c r="AX13" s="76">
        <f t="shared" si="29"/>
        <v>0.5</v>
      </c>
      <c r="AY13" s="42"/>
      <c r="AZ13" s="42">
        <f t="shared" si="30"/>
        <v>78.329999999999984</v>
      </c>
      <c r="BA13" s="42">
        <f t="shared" si="30"/>
        <v>155.34999999999997</v>
      </c>
      <c r="BB13" s="42"/>
      <c r="BC13" s="76">
        <f t="shared" si="31"/>
        <v>0.49948986098711889</v>
      </c>
      <c r="BD13" s="76">
        <f t="shared" si="31"/>
        <v>0.49987129158890525</v>
      </c>
      <c r="BE13" s="42"/>
    </row>
    <row r="14" spans="1:57" x14ac:dyDescent="0.25">
      <c r="A14" t="s">
        <v>136</v>
      </c>
      <c r="D14" s="162">
        <f>ROUND('AMT Silver Inc Cruise 24Feb26'!D14*(1+$B$10)*(1+D$1),2)</f>
        <v>81.64</v>
      </c>
      <c r="E14" s="162">
        <f>ROUND('AMT Silver Inc Cruise 24Feb26'!E14*(1+$B$10)*(1+E$1),2)</f>
        <v>160.05000000000001</v>
      </c>
      <c r="F14" s="81"/>
      <c r="G14" s="153">
        <f t="shared" si="17"/>
        <v>97.968000000000004</v>
      </c>
      <c r="H14" s="153">
        <f t="shared" si="17"/>
        <v>192.06</v>
      </c>
      <c r="J14" s="155">
        <f t="shared" si="18"/>
        <v>16.328000000000003</v>
      </c>
      <c r="K14" s="155">
        <f t="shared" si="18"/>
        <v>32.009999999999991</v>
      </c>
      <c r="M14" s="134">
        <f t="shared" si="32"/>
        <v>107.76700000000001</v>
      </c>
      <c r="N14" s="134">
        <f t="shared" si="32"/>
        <v>211.26600000000002</v>
      </c>
      <c r="P14" s="134">
        <f t="shared" si="19"/>
        <v>26.12700000000001</v>
      </c>
      <c r="Q14" s="134">
        <f t="shared" si="19"/>
        <v>51.216000000000008</v>
      </c>
      <c r="S14" s="141">
        <f t="shared" si="20"/>
        <v>0.10003266372693125</v>
      </c>
      <c r="T14" s="141">
        <f t="shared" si="20"/>
        <v>0.10002082682495055</v>
      </c>
      <c r="V14" s="41">
        <f t="shared" si="21"/>
        <v>163.28</v>
      </c>
      <c r="W14" s="41">
        <f t="shared" si="21"/>
        <v>320.10000000000002</v>
      </c>
      <c r="Y14" s="41">
        <f t="shared" si="33"/>
        <v>195.94</v>
      </c>
      <c r="Z14" s="41">
        <f t="shared" si="33"/>
        <v>384.12</v>
      </c>
      <c r="AB14" s="182">
        <f t="shared" si="22"/>
        <v>195.9</v>
      </c>
      <c r="AC14" s="182">
        <f t="shared" si="22"/>
        <v>384.1</v>
      </c>
      <c r="AE14" s="40">
        <f t="shared" si="23"/>
        <v>163.25</v>
      </c>
      <c r="AF14" s="40">
        <f t="shared" si="23"/>
        <v>320.08333333333337</v>
      </c>
      <c r="AH14" s="40">
        <f t="shared" si="24"/>
        <v>3.9999999999992042E-2</v>
      </c>
      <c r="AI14" s="40">
        <f t="shared" si="24"/>
        <v>1.999999999998181E-2</v>
      </c>
      <c r="AK14" s="130">
        <f t="shared" si="25"/>
        <v>9.8000000000000007</v>
      </c>
      <c r="AL14" s="130">
        <f t="shared" si="25"/>
        <v>19.21</v>
      </c>
      <c r="AM14" s="40"/>
      <c r="AN14" s="40">
        <f t="shared" si="26"/>
        <v>65.272000000000006</v>
      </c>
      <c r="AO14" s="40">
        <f t="shared" si="26"/>
        <v>128.02000000000004</v>
      </c>
      <c r="AP14" s="40"/>
      <c r="AQ14" s="144">
        <f t="shared" si="27"/>
        <v>0.10000000000000002</v>
      </c>
      <c r="AR14" s="144">
        <f t="shared" si="27"/>
        <v>9.9999999999999964E-2</v>
      </c>
      <c r="AS14" s="40"/>
      <c r="AT14" s="146">
        <f t="shared" si="28"/>
        <v>0.39975502204801572</v>
      </c>
      <c r="AU14" s="146">
        <f t="shared" si="28"/>
        <v>0.3999375195251485</v>
      </c>
      <c r="AV14" s="40"/>
      <c r="AW14" s="76">
        <f t="shared" si="29"/>
        <v>0.5</v>
      </c>
      <c r="AX14" s="76">
        <f t="shared" si="29"/>
        <v>0.5</v>
      </c>
      <c r="AY14" s="42"/>
      <c r="AZ14" s="42">
        <f t="shared" si="30"/>
        <v>81.600000000000009</v>
      </c>
      <c r="BA14" s="42">
        <f t="shared" si="30"/>
        <v>160.03000000000003</v>
      </c>
      <c r="BB14" s="42"/>
      <c r="BC14" s="76">
        <f t="shared" si="31"/>
        <v>0.49975502204801575</v>
      </c>
      <c r="BD14" s="76">
        <f t="shared" si="31"/>
        <v>0.49993751952514842</v>
      </c>
      <c r="BE14" s="42"/>
    </row>
    <row r="15" spans="1:57" ht="15.75" thickBot="1" x14ac:dyDescent="0.3">
      <c r="A15"/>
      <c r="D15" s="150"/>
      <c r="E15" s="150"/>
      <c r="F15" s="41"/>
      <c r="G15" s="153"/>
      <c r="H15" s="153"/>
      <c r="J15" s="154"/>
      <c r="K15" s="154"/>
      <c r="M15" s="134"/>
      <c r="N15" s="134"/>
      <c r="P15" s="134"/>
      <c r="Q15" s="134"/>
      <c r="S15" s="140"/>
      <c r="T15" s="140"/>
      <c r="V15" s="40"/>
      <c r="W15" s="40"/>
      <c r="Y15" s="41"/>
      <c r="Z15" s="41"/>
      <c r="AK15" s="130"/>
      <c r="AL15" s="130"/>
      <c r="AM15" s="40"/>
      <c r="AN15" s="40"/>
      <c r="AO15" s="40"/>
      <c r="AP15" s="40"/>
      <c r="AQ15" s="145"/>
      <c r="AR15" s="145"/>
      <c r="AS15" s="40"/>
      <c r="AT15" s="146"/>
      <c r="AU15" s="146"/>
      <c r="AV15" s="40"/>
      <c r="AW15" s="76"/>
      <c r="AX15" s="76"/>
      <c r="AY15" s="42"/>
      <c r="AZ15" s="42"/>
      <c r="BA15" s="42"/>
      <c r="BB15" s="42"/>
      <c r="BC15" s="76"/>
      <c r="BD15" s="76"/>
      <c r="BE15" s="42"/>
    </row>
    <row r="16" spans="1:57" ht="15.75" thickBot="1" x14ac:dyDescent="0.3">
      <c r="A16" s="167" t="s">
        <v>138</v>
      </c>
      <c r="B16" s="163">
        <v>0.15</v>
      </c>
      <c r="D16" s="149"/>
      <c r="E16" s="149"/>
      <c r="F16" s="41"/>
      <c r="G16" s="153"/>
      <c r="H16" s="153"/>
      <c r="J16" s="154"/>
      <c r="K16" s="154"/>
      <c r="M16" s="134"/>
      <c r="N16" s="134"/>
      <c r="P16" s="134"/>
      <c r="Q16" s="134"/>
      <c r="S16" s="140"/>
      <c r="T16" s="140"/>
      <c r="V16" s="40"/>
      <c r="W16" s="40"/>
      <c r="Y16" s="41"/>
      <c r="Z16" s="41"/>
      <c r="AK16" s="130"/>
      <c r="AL16" s="130"/>
      <c r="AM16" s="40"/>
      <c r="AN16" s="40"/>
      <c r="AO16" s="40"/>
      <c r="AP16" s="40"/>
      <c r="AQ16" s="145"/>
      <c r="AR16" s="145"/>
      <c r="AS16" s="40"/>
      <c r="AT16" s="146"/>
      <c r="AU16" s="146"/>
      <c r="AV16" s="40"/>
      <c r="AW16" s="76"/>
      <c r="AX16" s="76"/>
      <c r="AY16" s="42"/>
      <c r="AZ16" s="42"/>
      <c r="BA16" s="42"/>
      <c r="BB16" s="42"/>
      <c r="BC16" s="76"/>
      <c r="BD16" s="76"/>
      <c r="BE16" s="42"/>
    </row>
    <row r="17" spans="1:57" x14ac:dyDescent="0.25">
      <c r="A17" t="s">
        <v>133</v>
      </c>
      <c r="D17" s="162">
        <f>ROUND('AMT Silver Inc Cruise 24Feb26'!D17*(1+$B$16)*(1+D$1),2)</f>
        <v>96.16</v>
      </c>
      <c r="E17" s="162">
        <f>ROUND('AMT Silver Inc Cruise 24Feb26'!E17*(1+$B$16)*(1+E$1),2)</f>
        <v>196.4</v>
      </c>
      <c r="F17" s="81"/>
      <c r="G17" s="153">
        <f t="shared" ref="G17:H20" si="34">D17*SUM(1+$G$1/$Y$1)</f>
        <v>115.392</v>
      </c>
      <c r="H17" s="153">
        <f t="shared" si="34"/>
        <v>235.68</v>
      </c>
      <c r="I17" s="83"/>
      <c r="J17" s="155">
        <f t="shared" ref="J17:K20" si="35">G17-D17</f>
        <v>19.231999999999999</v>
      </c>
      <c r="K17" s="155">
        <f t="shared" si="35"/>
        <v>39.28</v>
      </c>
      <c r="L17" s="83"/>
      <c r="M17" s="134">
        <f>ROUND(D17*(1+$G$1*2),2)*SUM(1+$M$1)</f>
        <v>126.92900000000002</v>
      </c>
      <c r="N17" s="134">
        <f>ROUND(E17*(1+$G$1*2),2)*SUM(1+$M$1)</f>
        <v>259.24800000000005</v>
      </c>
      <c r="P17" s="134">
        <f t="shared" ref="P17:Q20" si="36">M17-D17</f>
        <v>30.76900000000002</v>
      </c>
      <c r="Q17" s="134">
        <f t="shared" si="36"/>
        <v>62.848000000000042</v>
      </c>
      <c r="S17" s="141">
        <f t="shared" ref="S17:T20" si="37">AK17/G17</f>
        <v>0.10000693288962839</v>
      </c>
      <c r="T17" s="141">
        <f t="shared" si="37"/>
        <v>0.10000848608282417</v>
      </c>
      <c r="V17" s="41">
        <f t="shared" ref="V17:W20" si="38">SUM(D17/(1-$Y$1))</f>
        <v>192.32</v>
      </c>
      <c r="W17" s="41">
        <f t="shared" si="38"/>
        <v>392.8</v>
      </c>
      <c r="Y17" s="41">
        <f>ROUND(D17/(1-$Y$1)*1.2,2)</f>
        <v>230.78</v>
      </c>
      <c r="Z17" s="41">
        <f>ROUND(E17/(1-$Y$1)*1.2,2)</f>
        <v>471.36</v>
      </c>
      <c r="AB17" s="182">
        <f t="shared" ref="AB17:AC20" si="39">ROUNDDOWN(D17/(1-$Y$1)*1.2,1)</f>
        <v>230.7</v>
      </c>
      <c r="AC17" s="182">
        <f t="shared" si="39"/>
        <v>471.3</v>
      </c>
      <c r="AE17" s="40">
        <f t="shared" ref="AE17:AF20" si="40">AB17/1.2</f>
        <v>192.25</v>
      </c>
      <c r="AF17" s="40">
        <f t="shared" si="40"/>
        <v>392.75</v>
      </c>
      <c r="AH17" s="40">
        <f t="shared" ref="AH17:AI20" si="41">Y17-AB17</f>
        <v>8.0000000000012506E-2</v>
      </c>
      <c r="AI17" s="40">
        <f t="shared" si="41"/>
        <v>6.0000000000002274E-2</v>
      </c>
      <c r="AK17" s="130">
        <f t="shared" ref="AK17:AL20" si="42">ROUND(M17*(1-(1/(1+$AL$1))),2)</f>
        <v>11.54</v>
      </c>
      <c r="AL17" s="130">
        <f t="shared" si="42"/>
        <v>23.57</v>
      </c>
      <c r="AM17" s="40"/>
      <c r="AN17" s="40">
        <f t="shared" ref="AN17:AO20" si="43">SUM(V17-G17)-AH17</f>
        <v>76.847999999999985</v>
      </c>
      <c r="AO17" s="40">
        <f t="shared" si="43"/>
        <v>157.06</v>
      </c>
      <c r="AP17" s="40"/>
      <c r="AQ17" s="144">
        <f t="shared" ref="AQ17:AR20" si="44">(SUM(G17-D17)/D17*$Y$1)</f>
        <v>0.1</v>
      </c>
      <c r="AR17" s="144">
        <f t="shared" si="44"/>
        <v>0.1</v>
      </c>
      <c r="AS17" s="40"/>
      <c r="AT17" s="146">
        <f t="shared" ref="AT17:AU20" si="45">AN17/V17</f>
        <v>0.39958402662229608</v>
      </c>
      <c r="AU17" s="146">
        <f t="shared" si="45"/>
        <v>0.39984725050916498</v>
      </c>
      <c r="AV17" s="40"/>
      <c r="AW17" s="76">
        <f t="shared" ref="AW17:AX20" si="46">D17/V17</f>
        <v>0.5</v>
      </c>
      <c r="AX17" s="76">
        <f t="shared" si="46"/>
        <v>0.5</v>
      </c>
      <c r="AY17" s="42"/>
      <c r="AZ17" s="42">
        <f t="shared" ref="AZ17:BA20" si="47">J17+AN17</f>
        <v>96.079999999999984</v>
      </c>
      <c r="BA17" s="42">
        <f t="shared" si="47"/>
        <v>196.34</v>
      </c>
      <c r="BB17" s="42"/>
      <c r="BC17" s="76">
        <f t="shared" ref="BC17:BD20" si="48">AZ17/(D17/$Y$1)</f>
        <v>0.49958402662229612</v>
      </c>
      <c r="BD17" s="76">
        <f t="shared" si="48"/>
        <v>0.49984725050916495</v>
      </c>
      <c r="BE17" s="42"/>
    </row>
    <row r="18" spans="1:57" x14ac:dyDescent="0.25">
      <c r="A18" t="s">
        <v>134</v>
      </c>
      <c r="D18" s="162">
        <f>ROUND('AMT Silver Inc Cruise 24Feb26'!D18*(1+$B$16)*(1+D$1),2)</f>
        <v>143.11000000000001</v>
      </c>
      <c r="E18" s="162">
        <f>ROUND('AMT Silver Inc Cruise 24Feb26'!E18*(1+$B$16)*(1+E$1),2)</f>
        <v>292.17</v>
      </c>
      <c r="F18" s="81"/>
      <c r="G18" s="153">
        <f t="shared" si="34"/>
        <v>171.732</v>
      </c>
      <c r="H18" s="153">
        <f t="shared" si="34"/>
        <v>350.60399999999998</v>
      </c>
      <c r="I18" s="83"/>
      <c r="J18" s="155">
        <f t="shared" si="35"/>
        <v>28.621999999999986</v>
      </c>
      <c r="K18" s="155">
        <f t="shared" si="35"/>
        <v>58.433999999999969</v>
      </c>
      <c r="L18" s="83"/>
      <c r="M18" s="134">
        <f t="shared" ref="M18:N20" si="49">ROUND(D18*(1+$G$1*2),2)*SUM(1+$M$1)</f>
        <v>188.90299999999999</v>
      </c>
      <c r="N18" s="134">
        <f t="shared" si="49"/>
        <v>385.66000000000008</v>
      </c>
      <c r="P18" s="134">
        <f t="shared" si="36"/>
        <v>45.792999999999978</v>
      </c>
      <c r="Q18" s="134">
        <f t="shared" si="36"/>
        <v>93.490000000000066</v>
      </c>
      <c r="S18" s="141">
        <f t="shared" si="37"/>
        <v>9.9981366314955869E-2</v>
      </c>
      <c r="T18" s="141">
        <f t="shared" si="37"/>
        <v>9.9998859111704377E-2</v>
      </c>
      <c r="V18" s="41">
        <f t="shared" si="38"/>
        <v>286.22000000000003</v>
      </c>
      <c r="W18" s="41">
        <f t="shared" si="38"/>
        <v>584.34</v>
      </c>
      <c r="Y18" s="41">
        <f t="shared" ref="Y18:Z20" si="50">ROUND(D18/(1-$Y$1)*1.2,2)</f>
        <v>343.46</v>
      </c>
      <c r="Z18" s="41">
        <f t="shared" si="50"/>
        <v>701.21</v>
      </c>
      <c r="AB18" s="182">
        <f t="shared" si="39"/>
        <v>343.4</v>
      </c>
      <c r="AC18" s="182">
        <f t="shared" si="39"/>
        <v>701.2</v>
      </c>
      <c r="AE18" s="40">
        <f t="shared" si="40"/>
        <v>286.16666666666669</v>
      </c>
      <c r="AF18" s="40">
        <f t="shared" si="40"/>
        <v>584.33333333333337</v>
      </c>
      <c r="AH18" s="40">
        <f t="shared" si="41"/>
        <v>6.0000000000002274E-2</v>
      </c>
      <c r="AI18" s="40">
        <f t="shared" si="41"/>
        <v>9.9999999999909051E-3</v>
      </c>
      <c r="AK18" s="130">
        <f t="shared" si="42"/>
        <v>17.170000000000002</v>
      </c>
      <c r="AL18" s="130">
        <f t="shared" si="42"/>
        <v>35.06</v>
      </c>
      <c r="AM18" s="40"/>
      <c r="AN18" s="40">
        <f t="shared" si="43"/>
        <v>114.42800000000003</v>
      </c>
      <c r="AO18" s="40">
        <f t="shared" si="43"/>
        <v>233.72600000000006</v>
      </c>
      <c r="AP18" s="40"/>
      <c r="AQ18" s="144">
        <f t="shared" si="44"/>
        <v>9.9999999999999936E-2</v>
      </c>
      <c r="AR18" s="144">
        <f t="shared" si="44"/>
        <v>9.9999999999999936E-2</v>
      </c>
      <c r="AS18" s="40"/>
      <c r="AT18" s="146">
        <f t="shared" si="45"/>
        <v>0.39979037104325349</v>
      </c>
      <c r="AU18" s="146">
        <f t="shared" si="45"/>
        <v>0.3999828866755657</v>
      </c>
      <c r="AV18" s="40"/>
      <c r="AW18" s="76">
        <f t="shared" si="46"/>
        <v>0.5</v>
      </c>
      <c r="AX18" s="76">
        <f t="shared" si="46"/>
        <v>0.5</v>
      </c>
      <c r="AY18" s="42"/>
      <c r="AZ18" s="42">
        <f t="shared" si="47"/>
        <v>143.05000000000001</v>
      </c>
      <c r="BA18" s="42">
        <f t="shared" si="47"/>
        <v>292.16000000000003</v>
      </c>
      <c r="BB18" s="42"/>
      <c r="BC18" s="76">
        <f t="shared" si="48"/>
        <v>0.49979037104325341</v>
      </c>
      <c r="BD18" s="76">
        <f t="shared" si="48"/>
        <v>0.49998288667556562</v>
      </c>
      <c r="BE18" s="42"/>
    </row>
    <row r="19" spans="1:57" x14ac:dyDescent="0.25">
      <c r="A19" t="s">
        <v>135</v>
      </c>
      <c r="D19" s="162">
        <f>ROUND('AMT Silver Inc Cruise 24Feb26'!D19*(1+$B$16)*(1+D$1),2)</f>
        <v>152.75</v>
      </c>
      <c r="E19" s="162">
        <f>ROUND('AMT Silver Inc Cruise 24Feb26'!E19*(1+$B$16)*(1+E$1),2)</f>
        <v>317.58</v>
      </c>
      <c r="F19" s="81"/>
      <c r="G19" s="153">
        <f t="shared" si="34"/>
        <v>183.29999999999998</v>
      </c>
      <c r="H19" s="153">
        <f t="shared" si="34"/>
        <v>381.09599999999995</v>
      </c>
      <c r="J19" s="155">
        <f t="shared" si="35"/>
        <v>30.549999999999983</v>
      </c>
      <c r="K19" s="155">
        <f t="shared" si="35"/>
        <v>63.515999999999963</v>
      </c>
      <c r="M19" s="134">
        <f t="shared" si="49"/>
        <v>201.63000000000002</v>
      </c>
      <c r="N19" s="134">
        <f t="shared" si="49"/>
        <v>419.21000000000004</v>
      </c>
      <c r="P19" s="134">
        <f t="shared" si="36"/>
        <v>48.880000000000024</v>
      </c>
      <c r="Q19" s="134">
        <f t="shared" si="36"/>
        <v>101.63000000000005</v>
      </c>
      <c r="S19" s="141">
        <f t="shared" si="37"/>
        <v>0.1</v>
      </c>
      <c r="T19" s="141">
        <f t="shared" si="37"/>
        <v>0.10000104960429919</v>
      </c>
      <c r="V19" s="41">
        <f t="shared" si="38"/>
        <v>305.5</v>
      </c>
      <c r="W19" s="41">
        <f t="shared" si="38"/>
        <v>635.16</v>
      </c>
      <c r="Y19" s="41">
        <f t="shared" si="50"/>
        <v>366.6</v>
      </c>
      <c r="Z19" s="41">
        <f t="shared" si="50"/>
        <v>762.19</v>
      </c>
      <c r="AB19" s="182">
        <f t="shared" si="39"/>
        <v>366.6</v>
      </c>
      <c r="AC19" s="182">
        <f t="shared" si="39"/>
        <v>762.1</v>
      </c>
      <c r="AE19" s="40">
        <f t="shared" si="40"/>
        <v>305.50000000000006</v>
      </c>
      <c r="AF19" s="40">
        <f t="shared" si="40"/>
        <v>635.08333333333337</v>
      </c>
      <c r="AH19" s="40">
        <f t="shared" si="41"/>
        <v>0</v>
      </c>
      <c r="AI19" s="40">
        <f t="shared" si="41"/>
        <v>9.0000000000031832E-2</v>
      </c>
      <c r="AK19" s="130">
        <f t="shared" si="42"/>
        <v>18.329999999999998</v>
      </c>
      <c r="AL19" s="130">
        <f t="shared" si="42"/>
        <v>38.11</v>
      </c>
      <c r="AM19" s="40"/>
      <c r="AN19" s="40">
        <f t="shared" si="43"/>
        <v>122.20000000000002</v>
      </c>
      <c r="AO19" s="40">
        <f t="shared" si="43"/>
        <v>253.97399999999999</v>
      </c>
      <c r="AP19" s="40"/>
      <c r="AQ19" s="144">
        <f t="shared" si="44"/>
        <v>9.999999999999995E-2</v>
      </c>
      <c r="AR19" s="144">
        <f t="shared" si="44"/>
        <v>9.999999999999995E-2</v>
      </c>
      <c r="AS19" s="40"/>
      <c r="AT19" s="146">
        <f t="shared" si="45"/>
        <v>0.40000000000000008</v>
      </c>
      <c r="AU19" s="146">
        <f t="shared" si="45"/>
        <v>0.39985830341961082</v>
      </c>
      <c r="AV19" s="40"/>
      <c r="AW19" s="76">
        <f t="shared" si="46"/>
        <v>0.5</v>
      </c>
      <c r="AX19" s="76">
        <f t="shared" si="46"/>
        <v>0.5</v>
      </c>
      <c r="AY19" s="42"/>
      <c r="AZ19" s="42">
        <f t="shared" si="47"/>
        <v>152.75</v>
      </c>
      <c r="BA19" s="42">
        <f t="shared" si="47"/>
        <v>317.48999999999995</v>
      </c>
      <c r="BB19" s="42"/>
      <c r="BC19" s="76">
        <f t="shared" si="48"/>
        <v>0.5</v>
      </c>
      <c r="BD19" s="76">
        <f t="shared" si="48"/>
        <v>0.49985830341961074</v>
      </c>
      <c r="BE19" s="42"/>
    </row>
    <row r="20" spans="1:57" x14ac:dyDescent="0.25">
      <c r="A20" t="s">
        <v>136</v>
      </c>
      <c r="D20" s="162">
        <f>ROUND('AMT Silver Inc Cruise 24Feb26'!D20*(1+$B$16)*(1+D$1),2)</f>
        <v>165.64</v>
      </c>
      <c r="E20" s="162">
        <f>ROUND('AMT Silver Inc Cruise 24Feb26'!E20*(1+$B$16)*(1+E$1),2)</f>
        <v>340.19</v>
      </c>
      <c r="F20" s="81"/>
      <c r="G20" s="153">
        <f t="shared" si="34"/>
        <v>198.76799999999997</v>
      </c>
      <c r="H20" s="153">
        <f t="shared" si="34"/>
        <v>408.22800000000001</v>
      </c>
      <c r="J20" s="155">
        <f t="shared" si="35"/>
        <v>33.127999999999986</v>
      </c>
      <c r="K20" s="155">
        <f t="shared" si="35"/>
        <v>68.038000000000011</v>
      </c>
      <c r="M20" s="134">
        <f t="shared" si="49"/>
        <v>218.64700000000002</v>
      </c>
      <c r="N20" s="134">
        <f t="shared" si="49"/>
        <v>449.05300000000005</v>
      </c>
      <c r="P20" s="134">
        <f t="shared" si="36"/>
        <v>53.007000000000033</v>
      </c>
      <c r="Q20" s="134">
        <f t="shared" si="36"/>
        <v>108.86300000000006</v>
      </c>
      <c r="S20" s="141">
        <f t="shared" si="37"/>
        <v>0.10001609917089271</v>
      </c>
      <c r="T20" s="141">
        <f t="shared" si="37"/>
        <v>9.9993141087823464E-2</v>
      </c>
      <c r="V20" s="41">
        <f t="shared" si="38"/>
        <v>331.28</v>
      </c>
      <c r="W20" s="41">
        <f t="shared" si="38"/>
        <v>680.38</v>
      </c>
      <c r="Y20" s="41">
        <f t="shared" si="50"/>
        <v>397.54</v>
      </c>
      <c r="Z20" s="41">
        <f t="shared" si="50"/>
        <v>816.46</v>
      </c>
      <c r="AB20" s="182">
        <f t="shared" si="39"/>
        <v>397.5</v>
      </c>
      <c r="AC20" s="182">
        <f t="shared" si="39"/>
        <v>816.4</v>
      </c>
      <c r="AE20" s="40">
        <f t="shared" si="40"/>
        <v>331.25</v>
      </c>
      <c r="AF20" s="40">
        <f t="shared" si="40"/>
        <v>680.33333333333337</v>
      </c>
      <c r="AH20" s="40">
        <f t="shared" si="41"/>
        <v>4.0000000000020464E-2</v>
      </c>
      <c r="AI20" s="40">
        <f t="shared" si="41"/>
        <v>6.0000000000059117E-2</v>
      </c>
      <c r="AK20" s="130">
        <f t="shared" si="42"/>
        <v>19.88</v>
      </c>
      <c r="AL20" s="130">
        <f t="shared" si="42"/>
        <v>40.82</v>
      </c>
      <c r="AM20" s="40"/>
      <c r="AN20" s="40">
        <f t="shared" si="43"/>
        <v>132.47199999999998</v>
      </c>
      <c r="AO20" s="40">
        <f t="shared" si="43"/>
        <v>272.09199999999993</v>
      </c>
      <c r="AP20" s="40"/>
      <c r="AQ20" s="144">
        <f t="shared" si="44"/>
        <v>9.9999999999999964E-2</v>
      </c>
      <c r="AR20" s="144">
        <f t="shared" si="44"/>
        <v>0.10000000000000002</v>
      </c>
      <c r="AS20" s="40"/>
      <c r="AT20" s="146">
        <f t="shared" si="45"/>
        <v>0.39987925621830472</v>
      </c>
      <c r="AU20" s="146">
        <f t="shared" si="45"/>
        <v>0.39991181398630166</v>
      </c>
      <c r="AV20" s="40"/>
      <c r="AW20" s="76">
        <f t="shared" si="46"/>
        <v>0.5</v>
      </c>
      <c r="AX20" s="76">
        <f t="shared" si="46"/>
        <v>0.5</v>
      </c>
      <c r="AY20" s="42"/>
      <c r="AZ20" s="42">
        <f t="shared" si="47"/>
        <v>165.59999999999997</v>
      </c>
      <c r="BA20" s="42">
        <f t="shared" si="47"/>
        <v>340.12999999999994</v>
      </c>
      <c r="BB20" s="42"/>
      <c r="BC20" s="76">
        <f t="shared" si="48"/>
        <v>0.4998792562183047</v>
      </c>
      <c r="BD20" s="76">
        <f t="shared" si="48"/>
        <v>0.49991181398630169</v>
      </c>
      <c r="BE20" s="42"/>
    </row>
    <row r="21" spans="1:57" x14ac:dyDescent="0.25">
      <c r="C21" s="104"/>
      <c r="D21" s="104"/>
      <c r="H21" s="40"/>
      <c r="I21" s="75"/>
      <c r="J21" s="75"/>
      <c r="K21" s="75"/>
      <c r="L21" s="75"/>
      <c r="V21" s="40"/>
      <c r="X21" s="41"/>
      <c r="Y21" s="40"/>
      <c r="Z21" s="40"/>
      <c r="AK21" s="76"/>
      <c r="AL21" s="76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76"/>
      <c r="AX21" s="76"/>
      <c r="AY21" s="42"/>
      <c r="AZ21" s="42"/>
      <c r="BA21" s="42"/>
      <c r="BB21" s="42"/>
      <c r="BC21" s="76"/>
      <c r="BD21" s="76"/>
      <c r="BE21" s="40"/>
    </row>
    <row r="22" spans="1:57" x14ac:dyDescent="0.25">
      <c r="A22" s="4" t="s">
        <v>139</v>
      </c>
      <c r="X22" s="41"/>
      <c r="Y22" s="40"/>
      <c r="Z22" s="40"/>
      <c r="AK22" s="76"/>
      <c r="AL22" s="76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76"/>
      <c r="AX22" s="76"/>
      <c r="AY22" s="42"/>
      <c r="AZ22" s="42"/>
      <c r="BA22" s="42"/>
      <c r="BB22" s="42"/>
      <c r="BC22" s="76"/>
      <c r="BD22" s="76"/>
      <c r="BE22" s="40"/>
    </row>
    <row r="23" spans="1:57" x14ac:dyDescent="0.25">
      <c r="A23" s="53"/>
      <c r="X23" s="41"/>
      <c r="Y23" s="40"/>
      <c r="Z23" s="40"/>
      <c r="AK23" s="76"/>
      <c r="AL23" s="76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76"/>
      <c r="AX23" s="76"/>
      <c r="AY23" s="42"/>
      <c r="AZ23" s="42"/>
      <c r="BA23" s="42"/>
      <c r="BB23" s="42"/>
      <c r="BC23" s="76"/>
      <c r="BD23" s="76"/>
      <c r="BE23" s="40"/>
    </row>
    <row r="24" spans="1:57" x14ac:dyDescent="0.25">
      <c r="A24" s="100" t="s">
        <v>132</v>
      </c>
      <c r="B24" s="52" t="s">
        <v>140</v>
      </c>
      <c r="D24" s="202" t="s">
        <v>141</v>
      </c>
      <c r="E24" s="202"/>
      <c r="F24" s="202"/>
      <c r="G24" s="202"/>
      <c r="H24" s="202"/>
    </row>
    <row r="25" spans="1:57" x14ac:dyDescent="0.25">
      <c r="A25" s="100" t="s">
        <v>137</v>
      </c>
      <c r="B25" s="52" t="s">
        <v>140</v>
      </c>
      <c r="F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</row>
    <row r="26" spans="1:57" x14ac:dyDescent="0.25">
      <c r="A26" s="100" t="s">
        <v>142</v>
      </c>
      <c r="B26" s="52" t="s">
        <v>140</v>
      </c>
      <c r="F26" s="40"/>
      <c r="G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</row>
    <row r="27" spans="1:57" x14ac:dyDescent="0.25">
      <c r="F27" s="40"/>
      <c r="G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</row>
    <row r="28" spans="1:57" x14ac:dyDescent="0.25">
      <c r="A28" s="99" t="s">
        <v>143</v>
      </c>
      <c r="B28" s="52" t="s">
        <v>144</v>
      </c>
      <c r="F28" s="40"/>
      <c r="G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</row>
    <row r="29" spans="1:57" x14ac:dyDescent="0.25">
      <c r="G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</row>
    <row r="30" spans="1:57" ht="45" customHeight="1" x14ac:dyDescent="0.25">
      <c r="A30" s="159" t="s">
        <v>145</v>
      </c>
      <c r="B30" s="246" t="s">
        <v>146</v>
      </c>
      <c r="C30" s="246"/>
      <c r="D30" s="246"/>
      <c r="E30" s="246"/>
      <c r="F30" s="99"/>
      <c r="AA30" s="40"/>
      <c r="AB30" s="40"/>
      <c r="AC30" s="40"/>
      <c r="AD30" s="40"/>
      <c r="AE30" s="40"/>
      <c r="AF30" s="40"/>
      <c r="AG30" s="40"/>
      <c r="AH30" s="40"/>
      <c r="AI30" s="40"/>
      <c r="AJ30" s="40"/>
    </row>
    <row r="31" spans="1:57" ht="45" customHeight="1" x14ac:dyDescent="0.25">
      <c r="A31" s="159" t="s">
        <v>147</v>
      </c>
      <c r="B31" s="246" t="s">
        <v>148</v>
      </c>
      <c r="C31" s="246"/>
      <c r="D31" s="246"/>
      <c r="E31" s="246"/>
      <c r="F31" s="246"/>
      <c r="AA31" s="40"/>
      <c r="AB31" s="40"/>
      <c r="AC31" s="40"/>
      <c r="AD31" s="40"/>
      <c r="AE31" s="40"/>
      <c r="AF31" s="40"/>
      <c r="AG31" s="40"/>
      <c r="AH31" s="40"/>
      <c r="AI31" s="40"/>
      <c r="AJ31" s="40"/>
    </row>
    <row r="32" spans="1:57" x14ac:dyDescent="0.25"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</row>
    <row r="33" spans="1:57" x14ac:dyDescent="0.25">
      <c r="A33" s="100" t="s">
        <v>149</v>
      </c>
      <c r="B33" s="101" t="s">
        <v>150</v>
      </c>
      <c r="C33" s="52"/>
      <c r="AA33" s="40"/>
      <c r="AB33" s="40"/>
      <c r="AC33" s="40"/>
      <c r="AD33" s="40"/>
      <c r="AE33" s="40"/>
      <c r="AF33" s="40"/>
      <c r="AG33" s="40"/>
      <c r="AH33" s="40"/>
      <c r="AI33" s="40"/>
      <c r="AJ33" s="40"/>
    </row>
    <row r="34" spans="1:57" x14ac:dyDescent="0.25">
      <c r="A34" s="100" t="s">
        <v>151</v>
      </c>
      <c r="B34" s="101" t="s">
        <v>152</v>
      </c>
      <c r="C34" s="52"/>
    </row>
    <row r="35" spans="1:57" x14ac:dyDescent="0.25">
      <c r="A35" s="100" t="s">
        <v>153</v>
      </c>
      <c r="B35" s="101" t="s">
        <v>154</v>
      </c>
      <c r="C35" s="52"/>
    </row>
    <row r="36" spans="1:57" s="96" customFormat="1" ht="45" customHeight="1" x14ac:dyDescent="0.25">
      <c r="D36" s="244" t="s">
        <v>128</v>
      </c>
      <c r="E36" s="244"/>
      <c r="F36" s="95"/>
      <c r="G36" s="245" t="s">
        <v>3</v>
      </c>
      <c r="H36" s="245"/>
      <c r="I36" s="18"/>
      <c r="J36" s="245" t="s">
        <v>4</v>
      </c>
      <c r="K36" s="245"/>
      <c r="L36" s="18"/>
      <c r="M36" s="219" t="s">
        <v>5</v>
      </c>
      <c r="N36" s="219"/>
      <c r="O36" s="18"/>
      <c r="P36" s="219" t="s">
        <v>6</v>
      </c>
      <c r="Q36" s="219"/>
      <c r="R36" s="18"/>
      <c r="S36" s="219" t="s">
        <v>7</v>
      </c>
      <c r="T36" s="219"/>
      <c r="U36" s="18"/>
      <c r="V36" s="214" t="s">
        <v>8</v>
      </c>
      <c r="W36" s="214"/>
      <c r="X36" s="52"/>
      <c r="Y36" s="211" t="s">
        <v>9</v>
      </c>
      <c r="Z36" s="211"/>
      <c r="AA36" s="1"/>
      <c r="AB36" s="215" t="s">
        <v>10</v>
      </c>
      <c r="AC36" s="215"/>
      <c r="AD36" s="1"/>
      <c r="AE36" s="211" t="s">
        <v>11</v>
      </c>
      <c r="AF36" s="211"/>
      <c r="AG36" s="1"/>
      <c r="AH36" s="211" t="s">
        <v>12</v>
      </c>
      <c r="AI36" s="211"/>
      <c r="AJ36" s="1"/>
      <c r="AK36" s="211" t="s">
        <v>13</v>
      </c>
      <c r="AL36" s="211"/>
      <c r="AM36" s="1"/>
      <c r="AN36" s="211" t="s">
        <v>14</v>
      </c>
      <c r="AO36" s="211"/>
      <c r="AP36" s="1"/>
      <c r="AQ36" s="212" t="s">
        <v>15</v>
      </c>
      <c r="AR36" s="212"/>
      <c r="AS36" s="1"/>
      <c r="AT36" s="211" t="s">
        <v>16</v>
      </c>
      <c r="AU36" s="211"/>
      <c r="AV36" s="1"/>
      <c r="AW36" s="213" t="s">
        <v>17</v>
      </c>
      <c r="AX36" s="213"/>
      <c r="AY36" s="1"/>
      <c r="AZ36" s="213" t="s">
        <v>18</v>
      </c>
      <c r="BA36" s="213"/>
      <c r="BB36" s="1"/>
      <c r="BC36" s="213" t="s">
        <v>129</v>
      </c>
      <c r="BD36" s="213"/>
      <c r="BE36" s="1"/>
    </row>
    <row r="37" spans="1:57" s="96" customFormat="1" ht="108.6" customHeight="1" x14ac:dyDescent="0.25">
      <c r="D37" s="195" t="s">
        <v>130</v>
      </c>
      <c r="E37" s="147" t="s">
        <v>131</v>
      </c>
      <c r="F37" s="35"/>
      <c r="G37" s="151" t="s">
        <v>130</v>
      </c>
      <c r="H37" s="152" t="s">
        <v>131</v>
      </c>
      <c r="I37" s="52"/>
      <c r="J37" s="151" t="s">
        <v>130</v>
      </c>
      <c r="K37" s="152" t="s">
        <v>131</v>
      </c>
      <c r="L37" s="52"/>
      <c r="M37" s="132" t="s">
        <v>130</v>
      </c>
      <c r="N37" s="133" t="s">
        <v>131</v>
      </c>
      <c r="O37" s="52"/>
      <c r="P37" s="132" t="s">
        <v>130</v>
      </c>
      <c r="Q37" s="133" t="s">
        <v>131</v>
      </c>
      <c r="R37" s="52"/>
      <c r="S37" s="132" t="s">
        <v>130</v>
      </c>
      <c r="T37" s="133" t="s">
        <v>131</v>
      </c>
      <c r="U37" s="52"/>
      <c r="V37" s="96" t="s">
        <v>130</v>
      </c>
      <c r="W37" s="95" t="s">
        <v>131</v>
      </c>
      <c r="X37" s="52"/>
      <c r="Y37" s="96" t="s">
        <v>130</v>
      </c>
      <c r="Z37" s="95" t="s">
        <v>131</v>
      </c>
      <c r="AA37" s="52"/>
      <c r="AB37" s="96" t="s">
        <v>130</v>
      </c>
      <c r="AC37" s="95" t="s">
        <v>131</v>
      </c>
      <c r="AD37" s="52"/>
      <c r="AE37" s="96" t="s">
        <v>130</v>
      </c>
      <c r="AF37" s="95" t="s">
        <v>131</v>
      </c>
      <c r="AG37" s="34"/>
      <c r="AH37" s="96" t="s">
        <v>130</v>
      </c>
      <c r="AI37" s="95" t="s">
        <v>131</v>
      </c>
      <c r="AJ37" s="52"/>
      <c r="AK37" s="128" t="s">
        <v>130</v>
      </c>
      <c r="AL37" s="129" t="s">
        <v>131</v>
      </c>
      <c r="AM37" s="52"/>
      <c r="AN37" s="96" t="s">
        <v>130</v>
      </c>
      <c r="AO37" s="95" t="s">
        <v>131</v>
      </c>
      <c r="AP37" s="52"/>
      <c r="AQ37" s="196" t="s">
        <v>130</v>
      </c>
      <c r="AR37" s="142" t="s">
        <v>131</v>
      </c>
      <c r="AS37" s="52"/>
      <c r="AT37" s="197" t="s">
        <v>130</v>
      </c>
      <c r="AU37" s="129" t="s">
        <v>131</v>
      </c>
      <c r="AV37" s="52"/>
      <c r="AW37" s="96" t="s">
        <v>130</v>
      </c>
      <c r="AX37" s="95" t="s">
        <v>131</v>
      </c>
      <c r="AY37" s="52"/>
      <c r="AZ37" s="96" t="s">
        <v>130</v>
      </c>
      <c r="BA37" s="95" t="s">
        <v>131</v>
      </c>
      <c r="BB37" s="52"/>
      <c r="BC37" s="139" t="s">
        <v>130</v>
      </c>
      <c r="BD37" s="95" t="s">
        <v>131</v>
      </c>
      <c r="BE37" s="1"/>
    </row>
    <row r="38" spans="1:57" ht="47.45" customHeight="1" x14ac:dyDescent="0.25">
      <c r="B38" s="45"/>
      <c r="D38" s="149"/>
      <c r="E38" s="149"/>
      <c r="F38" s="81"/>
      <c r="G38" s="153"/>
      <c r="H38" s="153"/>
      <c r="J38" s="155"/>
      <c r="K38" s="155"/>
      <c r="L38" s="41"/>
      <c r="M38" s="161"/>
      <c r="N38" s="161"/>
      <c r="P38" s="134"/>
      <c r="Q38" s="134"/>
      <c r="S38" s="141"/>
      <c r="T38" s="141"/>
      <c r="V38" s="41"/>
      <c r="W38" s="41"/>
      <c r="Y38" s="41"/>
      <c r="Z38" s="41"/>
      <c r="AB38" s="182"/>
      <c r="AC38" s="182"/>
      <c r="AE38" s="40"/>
      <c r="AF38" s="40"/>
      <c r="AH38" s="40"/>
      <c r="AI38" s="40"/>
      <c r="AK38" s="130"/>
      <c r="AL38" s="130"/>
      <c r="AM38" s="40"/>
      <c r="AN38" s="40"/>
      <c r="AO38" s="40"/>
      <c r="AP38" s="40"/>
      <c r="AQ38" s="144"/>
      <c r="AR38" s="144"/>
      <c r="AS38" s="40"/>
      <c r="AT38" s="146"/>
      <c r="AU38" s="146"/>
      <c r="AV38" s="40"/>
      <c r="AW38" s="76"/>
      <c r="AX38" s="76"/>
      <c r="AY38" s="42"/>
      <c r="AZ38" s="42"/>
      <c r="BA38" s="42"/>
      <c r="BB38" s="42"/>
      <c r="BC38" s="76"/>
      <c r="BD38" s="76"/>
      <c r="BE38" s="42"/>
    </row>
    <row r="39" spans="1:57" ht="39.950000000000003" customHeight="1" x14ac:dyDescent="0.25">
      <c r="A39" s="247" t="s">
        <v>63</v>
      </c>
      <c r="B39" s="247"/>
      <c r="C39" s="247"/>
      <c r="D39" s="162">
        <v>15</v>
      </c>
      <c r="E39" s="162">
        <v>15</v>
      </c>
      <c r="F39" s="81"/>
      <c r="G39" s="153">
        <f>D39*SUM(1+$G$1/$Y$1)</f>
        <v>18</v>
      </c>
      <c r="H39" s="153">
        <f>E39*SUM(1+$G$1/$Y$1)</f>
        <v>18</v>
      </c>
      <c r="J39" s="155">
        <f t="shared" ref="J39:K39" si="51">G39-D39</f>
        <v>3</v>
      </c>
      <c r="K39" s="155">
        <f t="shared" si="51"/>
        <v>3</v>
      </c>
      <c r="L39" s="41"/>
      <c r="M39" s="161">
        <f t="shared" ref="M39:N39" si="52">ROUND(D39*(1+$G$1*2),2)*SUM(1+$M$1)</f>
        <v>19.8</v>
      </c>
      <c r="N39" s="161">
        <f t="shared" si="52"/>
        <v>19.8</v>
      </c>
      <c r="P39" s="134">
        <f t="shared" ref="P39:Q39" si="53">M39-D39</f>
        <v>4.8000000000000007</v>
      </c>
      <c r="Q39" s="134">
        <f t="shared" si="53"/>
        <v>4.8000000000000007</v>
      </c>
      <c r="S39" s="141">
        <f>AK39/G39</f>
        <v>0.1</v>
      </c>
      <c r="T39" s="141">
        <f>AL39/H39</f>
        <v>0.1</v>
      </c>
      <c r="V39" s="41">
        <f>SUM(D39/(1-$Y$1))</f>
        <v>30</v>
      </c>
      <c r="W39" s="41">
        <f>SUM(E39/(1-$Y$1))</f>
        <v>30</v>
      </c>
      <c r="Y39" s="41">
        <f t="shared" ref="Y39:Z39" si="54">ROUND(D39/(1-$Y$1)*1.2,2)</f>
        <v>36</v>
      </c>
      <c r="Z39" s="41">
        <f t="shared" si="54"/>
        <v>36</v>
      </c>
      <c r="AB39" s="182">
        <f t="shared" ref="AB39:AC39" si="55">ROUNDDOWN(D39/(1-$Y$1)*1.2,1)</f>
        <v>36</v>
      </c>
      <c r="AC39" s="182">
        <f t="shared" si="55"/>
        <v>36</v>
      </c>
      <c r="AE39" s="40">
        <f t="shared" ref="AE39:AF39" si="56">AB39/1.2</f>
        <v>30</v>
      </c>
      <c r="AF39" s="40">
        <f t="shared" si="56"/>
        <v>30</v>
      </c>
      <c r="AH39" s="40">
        <f t="shared" ref="AH39:AI39" si="57">Y39-AB39</f>
        <v>0</v>
      </c>
      <c r="AI39" s="40">
        <f t="shared" si="57"/>
        <v>0</v>
      </c>
      <c r="AK39" s="130">
        <f t="shared" ref="AK39" si="58">ROUND(M39*(1-(1/(1+$AL$1))),2)</f>
        <v>1.8</v>
      </c>
      <c r="AL39" s="130">
        <f>ROUND(N39*(1-(1/(1+$AL$1))),2)</f>
        <v>1.8</v>
      </c>
      <c r="AM39" s="40"/>
      <c r="AN39" s="40">
        <f t="shared" ref="AN39:AO39" si="59">SUM(V39-G39)-AH39</f>
        <v>12</v>
      </c>
      <c r="AO39" s="40">
        <f t="shared" si="59"/>
        <v>12</v>
      </c>
      <c r="AP39" s="40"/>
      <c r="AQ39" s="144">
        <f>(SUM(G39-D39)/D39*$Y$1)</f>
        <v>0.1</v>
      </c>
      <c r="AR39" s="144">
        <f>(SUM(H39-E39)/E39*$Y$1)</f>
        <v>0.1</v>
      </c>
      <c r="AS39" s="40"/>
      <c r="AT39" s="146">
        <f>AN39/V39</f>
        <v>0.4</v>
      </c>
      <c r="AU39" s="146">
        <f>AO39/W39</f>
        <v>0.4</v>
      </c>
      <c r="AV39" s="40"/>
      <c r="AW39" s="76">
        <f>D39/V39</f>
        <v>0.5</v>
      </c>
      <c r="AX39" s="76">
        <f>E39/W39</f>
        <v>0.5</v>
      </c>
      <c r="AY39" s="42"/>
      <c r="AZ39" s="42">
        <f>J39+AN39</f>
        <v>15</v>
      </c>
      <c r="BA39" s="42">
        <f>K39+AO39</f>
        <v>15</v>
      </c>
      <c r="BB39" s="42"/>
      <c r="BC39" s="76">
        <f>AZ39/(D39/$Y$1)</f>
        <v>0.5</v>
      </c>
      <c r="BD39" s="76">
        <f>BA39/(E39/$Y$1)</f>
        <v>0.5</v>
      </c>
      <c r="BE39" s="42"/>
    </row>
    <row r="40" spans="1:57" x14ac:dyDescent="0.25">
      <c r="A40" s="52"/>
      <c r="B40" s="52"/>
      <c r="C40" s="98"/>
      <c r="D40" s="52"/>
      <c r="E40" s="52"/>
      <c r="F40" s="40"/>
    </row>
    <row r="41" spans="1:57" x14ac:dyDescent="0.25">
      <c r="A41" s="45" t="s">
        <v>64</v>
      </c>
      <c r="B41" s="45" t="s">
        <v>65</v>
      </c>
      <c r="C41" s="45" t="s">
        <v>66</v>
      </c>
    </row>
    <row r="42" spans="1:57" s="122" customFormat="1" ht="30" customHeight="1" x14ac:dyDescent="0.25">
      <c r="A42" s="120"/>
      <c r="B42" s="121" t="s">
        <v>67</v>
      </c>
      <c r="C42" s="248" t="s">
        <v>68</v>
      </c>
      <c r="D42" s="248"/>
      <c r="E42" s="248"/>
      <c r="F42" s="248"/>
      <c r="G42" s="248"/>
      <c r="H42" s="248"/>
      <c r="I42" s="248"/>
      <c r="J42" s="248"/>
      <c r="K42" s="248"/>
      <c r="L42" s="248"/>
      <c r="M42" s="248"/>
    </row>
    <row r="43" spans="1:57" s="122" customFormat="1" ht="30" customHeight="1" x14ac:dyDescent="0.25">
      <c r="A43" s="120"/>
      <c r="B43" s="121"/>
      <c r="C43" s="248"/>
      <c r="D43" s="248"/>
      <c r="E43" s="248"/>
      <c r="F43" s="248"/>
      <c r="G43" s="248"/>
      <c r="H43" s="248"/>
      <c r="I43" s="248"/>
      <c r="J43" s="248"/>
      <c r="K43" s="248"/>
      <c r="L43" s="248"/>
      <c r="M43" s="248"/>
    </row>
    <row r="44" spans="1:57" x14ac:dyDescent="0.25">
      <c r="B44" s="45" t="s">
        <v>69</v>
      </c>
      <c r="C44" s="45" t="s">
        <v>70</v>
      </c>
      <c r="G44" s="40"/>
    </row>
    <row r="45" spans="1:57" x14ac:dyDescent="0.25">
      <c r="B45" s="45" t="s">
        <v>71</v>
      </c>
      <c r="C45" s="45" t="s">
        <v>72</v>
      </c>
      <c r="G45" s="40"/>
    </row>
    <row r="46" spans="1:57" x14ac:dyDescent="0.25">
      <c r="A46" s="52"/>
      <c r="B46" s="52"/>
      <c r="C46" s="98"/>
      <c r="D46" s="52"/>
      <c r="E46" s="52"/>
      <c r="F46" s="40"/>
    </row>
    <row r="47" spans="1:57" x14ac:dyDescent="0.25">
      <c r="A47" s="46" t="s">
        <v>73</v>
      </c>
      <c r="B47" s="1" t="s">
        <v>74</v>
      </c>
      <c r="C47" s="46" t="s">
        <v>75</v>
      </c>
      <c r="D47" s="25"/>
      <c r="F47" s="47"/>
    </row>
    <row r="48" spans="1:57" x14ac:dyDescent="0.25">
      <c r="A48" s="25"/>
      <c r="B48" s="1" t="s">
        <v>76</v>
      </c>
      <c r="C48" s="47" t="s">
        <v>77</v>
      </c>
      <c r="D48" s="25"/>
      <c r="F48" s="47"/>
    </row>
    <row r="49" spans="1:12" x14ac:dyDescent="0.25">
      <c r="A49" s="25"/>
      <c r="B49" s="1" t="s">
        <v>78</v>
      </c>
      <c r="C49" s="47" t="s">
        <v>79</v>
      </c>
      <c r="D49" s="25"/>
      <c r="F49" s="47"/>
    </row>
    <row r="50" spans="1:12" x14ac:dyDescent="0.25">
      <c r="A50" s="25"/>
      <c r="B50" s="1" t="s">
        <v>80</v>
      </c>
      <c r="C50" s="47" t="s">
        <v>81</v>
      </c>
      <c r="D50" s="25"/>
      <c r="F50" s="47"/>
    </row>
    <row r="51" spans="1:12" x14ac:dyDescent="0.25">
      <c r="F51" s="52"/>
      <c r="G51" s="52"/>
      <c r="H51" s="52"/>
      <c r="I51" s="52"/>
      <c r="J51" s="52"/>
      <c r="K51" s="52"/>
      <c r="L51" s="52"/>
    </row>
    <row r="52" spans="1:12" x14ac:dyDescent="0.25">
      <c r="A52" s="1" t="s">
        <v>82</v>
      </c>
      <c r="C52" s="1" t="s">
        <v>83</v>
      </c>
      <c r="F52" s="99"/>
      <c r="G52" s="99"/>
      <c r="H52" s="99"/>
      <c r="I52" s="99"/>
      <c r="J52" s="99"/>
      <c r="K52" s="99"/>
      <c r="L52" s="99"/>
    </row>
    <row r="53" spans="1:12" x14ac:dyDescent="0.25">
      <c r="A53" s="99"/>
      <c r="F53" s="99"/>
      <c r="G53" s="99"/>
      <c r="H53" s="99"/>
      <c r="I53" s="99"/>
      <c r="J53" s="99"/>
      <c r="K53" s="99"/>
      <c r="L53" s="99"/>
    </row>
    <row r="54" spans="1:12" x14ac:dyDescent="0.25">
      <c r="A54" s="52" t="s">
        <v>84</v>
      </c>
      <c r="B54" s="52"/>
      <c r="C54" s="52"/>
      <c r="D54" s="52"/>
      <c r="E54" s="52"/>
      <c r="F54" s="99"/>
      <c r="G54" s="99"/>
      <c r="H54" s="99"/>
      <c r="I54" s="99"/>
      <c r="J54" s="99"/>
      <c r="K54" s="99"/>
      <c r="L54" s="99"/>
    </row>
    <row r="57" spans="1:12" x14ac:dyDescent="0.25">
      <c r="A57" s="166" t="s">
        <v>85</v>
      </c>
      <c r="B57" s="191">
        <v>1.8</v>
      </c>
      <c r="C57" s="192" t="s">
        <v>156</v>
      </c>
    </row>
    <row r="58" spans="1:12" x14ac:dyDescent="0.25">
      <c r="A58" s="166"/>
      <c r="B58" s="191">
        <v>3.6</v>
      </c>
      <c r="C58" s="192" t="s">
        <v>157</v>
      </c>
    </row>
  </sheetData>
  <mergeCells count="40">
    <mergeCell ref="D2:E2"/>
    <mergeCell ref="G2:H2"/>
    <mergeCell ref="J2:K2"/>
    <mergeCell ref="M2:N2"/>
    <mergeCell ref="P2:Q2"/>
    <mergeCell ref="AZ2:BA2"/>
    <mergeCell ref="BC2:BD2"/>
    <mergeCell ref="V2:W2"/>
    <mergeCell ref="Y2:Z2"/>
    <mergeCell ref="AB2:AC2"/>
    <mergeCell ref="AE2:AF2"/>
    <mergeCell ref="AH2:AI2"/>
    <mergeCell ref="AK2:AL2"/>
    <mergeCell ref="M36:N36"/>
    <mergeCell ref="AN2:AO2"/>
    <mergeCell ref="AQ2:AR2"/>
    <mergeCell ref="AT2:AU2"/>
    <mergeCell ref="AW2:AX2"/>
    <mergeCell ref="S2:T2"/>
    <mergeCell ref="B30:E30"/>
    <mergeCell ref="B31:F31"/>
    <mergeCell ref="D36:E36"/>
    <mergeCell ref="G36:H36"/>
    <mergeCell ref="J36:K36"/>
    <mergeCell ref="AZ36:BA36"/>
    <mergeCell ref="BC36:BD36"/>
    <mergeCell ref="A39:C39"/>
    <mergeCell ref="C42:M43"/>
    <mergeCell ref="AH36:AI36"/>
    <mergeCell ref="AK36:AL36"/>
    <mergeCell ref="AN36:AO36"/>
    <mergeCell ref="AQ36:AR36"/>
    <mergeCell ref="AT36:AU36"/>
    <mergeCell ref="AW36:AX36"/>
    <mergeCell ref="P36:Q36"/>
    <mergeCell ref="S36:T36"/>
    <mergeCell ref="V36:W36"/>
    <mergeCell ref="Y36:Z36"/>
    <mergeCell ref="AB36:AC36"/>
    <mergeCell ref="AE36:AF3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6329E-B11C-4B2E-896B-15066213920A}">
  <sheetPr>
    <tabColor theme="0" tint="-0.14999847407452621"/>
  </sheetPr>
  <dimension ref="A1:BE58"/>
  <sheetViews>
    <sheetView zoomScale="85" zoomScaleNormal="8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T25" sqref="T25"/>
    </sheetView>
  </sheetViews>
  <sheetFormatPr defaultColWidth="8.85546875" defaultRowHeight="15" x14ac:dyDescent="0.25"/>
  <cols>
    <col min="1" max="1" width="33.7109375" style="1" customWidth="1"/>
    <col min="2" max="2" width="8.85546875" style="1" customWidth="1"/>
    <col min="3" max="3" width="32.140625" style="1" customWidth="1"/>
    <col min="4" max="5" width="10" style="1" customWidth="1"/>
    <col min="6" max="6" width="3.7109375" style="1" customWidth="1"/>
    <col min="7" max="8" width="9.7109375" style="1" customWidth="1"/>
    <col min="9" max="9" width="3.7109375" style="1" customWidth="1"/>
    <col min="10" max="11" width="9.7109375" style="1" customWidth="1"/>
    <col min="12" max="12" width="3.7109375" style="1" customWidth="1"/>
    <col min="13" max="13" width="13" style="1" customWidth="1"/>
    <col min="14" max="14" width="11.85546875" style="1" bestFit="1" customWidth="1"/>
    <col min="15" max="15" width="3.7109375" style="1" customWidth="1"/>
    <col min="16" max="17" width="9.7109375" style="1" customWidth="1"/>
    <col min="18" max="18" width="3.7109375" style="1" customWidth="1"/>
    <col min="19" max="20" width="9.7109375" style="1" customWidth="1"/>
    <col min="21" max="21" width="5.140625" style="1" customWidth="1"/>
    <col min="22" max="22" width="12.42578125" style="1" customWidth="1"/>
    <col min="23" max="23" width="11.85546875" style="1" customWidth="1"/>
    <col min="24" max="24" width="6.140625" style="1" customWidth="1"/>
    <col min="25" max="25" width="12.42578125" style="1" customWidth="1"/>
    <col min="26" max="26" width="11.85546875" style="1" customWidth="1"/>
    <col min="27" max="27" width="3.7109375" style="1" customWidth="1"/>
    <col min="28" max="29" width="9.7109375" style="1" customWidth="1"/>
    <col min="30" max="30" width="3.7109375" style="1" customWidth="1"/>
    <col min="31" max="32" width="9.7109375" style="1" customWidth="1"/>
    <col min="33" max="33" width="3.7109375" style="1" customWidth="1"/>
    <col min="34" max="35" width="9.7109375" style="1" customWidth="1"/>
    <col min="36" max="36" width="3.7109375" style="1" customWidth="1"/>
    <col min="37" max="38" width="9.7109375" style="1" customWidth="1"/>
    <col min="39" max="39" width="3.7109375" style="1" customWidth="1"/>
    <col min="40" max="41" width="9.7109375" style="1" customWidth="1"/>
    <col min="42" max="42" width="3.7109375" style="1" customWidth="1"/>
    <col min="43" max="44" width="9.7109375" style="1" customWidth="1"/>
    <col min="45" max="45" width="3.7109375" style="1" customWidth="1"/>
    <col min="46" max="47" width="9.7109375" style="1" customWidth="1"/>
    <col min="48" max="48" width="3.7109375" style="1" customWidth="1"/>
    <col min="49" max="50" width="9.7109375" style="1" customWidth="1"/>
    <col min="51" max="51" width="3.7109375" style="1" customWidth="1"/>
    <col min="52" max="53" width="9.7109375" style="1" customWidth="1"/>
    <col min="54" max="54" width="3.7109375" style="1" customWidth="1"/>
    <col min="55" max="55" width="11.85546875" style="1" customWidth="1"/>
    <col min="56" max="56" width="10.42578125" style="1" customWidth="1"/>
    <col min="57" max="57" width="8.140625" style="1" customWidth="1"/>
    <col min="58" max="16384" width="8.85546875" style="1"/>
  </cols>
  <sheetData>
    <row r="1" spans="1:57" ht="15" customHeight="1" thickBot="1" x14ac:dyDescent="0.3">
      <c r="A1" s="184" t="s">
        <v>174</v>
      </c>
      <c r="C1" s="171" t="s">
        <v>0</v>
      </c>
      <c r="D1" s="163">
        <v>0.03</v>
      </c>
      <c r="E1" s="18"/>
      <c r="F1" s="18"/>
      <c r="G1" s="194">
        <v>0.1</v>
      </c>
      <c r="H1" s="170" t="s">
        <v>1</v>
      </c>
      <c r="I1" s="18"/>
      <c r="J1" s="18"/>
      <c r="K1" s="18"/>
      <c r="L1" s="18"/>
      <c r="M1" s="92">
        <v>0.1</v>
      </c>
      <c r="N1" s="18"/>
      <c r="O1" s="18"/>
      <c r="P1" s="18"/>
      <c r="Q1" s="18"/>
      <c r="R1" s="18"/>
      <c r="S1" s="18"/>
      <c r="T1" s="18"/>
      <c r="U1" s="18"/>
      <c r="V1" s="92"/>
      <c r="W1" s="18"/>
      <c r="X1" s="92"/>
      <c r="Y1" s="91">
        <v>0.5</v>
      </c>
      <c r="Z1" s="18"/>
      <c r="AL1" s="83">
        <v>0.1</v>
      </c>
    </row>
    <row r="2" spans="1:57" ht="48" customHeight="1" x14ac:dyDescent="0.25">
      <c r="A2" s="4"/>
      <c r="D2" s="244" t="s">
        <v>128</v>
      </c>
      <c r="E2" s="244"/>
      <c r="F2" s="95"/>
      <c r="G2" s="245" t="s">
        <v>3</v>
      </c>
      <c r="H2" s="245"/>
      <c r="I2" s="18"/>
      <c r="J2" s="245" t="s">
        <v>4</v>
      </c>
      <c r="K2" s="245"/>
      <c r="L2" s="18"/>
      <c r="M2" s="219" t="s">
        <v>5</v>
      </c>
      <c r="N2" s="219"/>
      <c r="O2" s="18"/>
      <c r="P2" s="219" t="s">
        <v>6</v>
      </c>
      <c r="Q2" s="219"/>
      <c r="R2" s="18"/>
      <c r="S2" s="219" t="s">
        <v>7</v>
      </c>
      <c r="T2" s="219"/>
      <c r="U2" s="18"/>
      <c r="V2" s="214" t="s">
        <v>8</v>
      </c>
      <c r="W2" s="214"/>
      <c r="X2" s="52"/>
      <c r="Y2" s="211" t="s">
        <v>9</v>
      </c>
      <c r="Z2" s="211"/>
      <c r="AB2" s="215" t="s">
        <v>10</v>
      </c>
      <c r="AC2" s="215"/>
      <c r="AE2" s="211" t="s">
        <v>11</v>
      </c>
      <c r="AF2" s="211"/>
      <c r="AH2" s="211" t="s">
        <v>12</v>
      </c>
      <c r="AI2" s="211"/>
      <c r="AK2" s="211" t="s">
        <v>13</v>
      </c>
      <c r="AL2" s="211"/>
      <c r="AN2" s="211" t="s">
        <v>14</v>
      </c>
      <c r="AO2" s="211"/>
      <c r="AQ2" s="212" t="s">
        <v>15</v>
      </c>
      <c r="AR2" s="212"/>
      <c r="AT2" s="211" t="s">
        <v>16</v>
      </c>
      <c r="AU2" s="211"/>
      <c r="AW2" s="213" t="s">
        <v>17</v>
      </c>
      <c r="AX2" s="213"/>
      <c r="AZ2" s="213" t="s">
        <v>18</v>
      </c>
      <c r="BA2" s="213"/>
      <c r="BC2" s="213" t="s">
        <v>129</v>
      </c>
      <c r="BD2" s="213"/>
    </row>
    <row r="3" spans="1:57" s="52" customFormat="1" ht="102" customHeight="1" x14ac:dyDescent="0.25">
      <c r="A3" s="97"/>
      <c r="D3" s="195" t="s">
        <v>130</v>
      </c>
      <c r="E3" s="147" t="s">
        <v>131</v>
      </c>
      <c r="F3" s="35"/>
      <c r="G3" s="151" t="s">
        <v>130</v>
      </c>
      <c r="H3" s="152" t="s">
        <v>131</v>
      </c>
      <c r="J3" s="151" t="s">
        <v>130</v>
      </c>
      <c r="K3" s="152" t="s">
        <v>131</v>
      </c>
      <c r="M3" s="132" t="s">
        <v>130</v>
      </c>
      <c r="N3" s="133" t="s">
        <v>131</v>
      </c>
      <c r="P3" s="132" t="s">
        <v>130</v>
      </c>
      <c r="Q3" s="133" t="s">
        <v>131</v>
      </c>
      <c r="S3" s="132" t="s">
        <v>130</v>
      </c>
      <c r="T3" s="133" t="s">
        <v>131</v>
      </c>
      <c r="V3" s="96" t="s">
        <v>130</v>
      </c>
      <c r="W3" s="95" t="s">
        <v>131</v>
      </c>
      <c r="Y3" s="96" t="s">
        <v>130</v>
      </c>
      <c r="Z3" s="95" t="s">
        <v>131</v>
      </c>
      <c r="AB3" s="96" t="s">
        <v>130</v>
      </c>
      <c r="AC3" s="95" t="s">
        <v>131</v>
      </c>
      <c r="AE3" s="96" t="s">
        <v>130</v>
      </c>
      <c r="AF3" s="95" t="s">
        <v>131</v>
      </c>
      <c r="AG3" s="34"/>
      <c r="AH3" s="96" t="s">
        <v>130</v>
      </c>
      <c r="AI3" s="95" t="s">
        <v>131</v>
      </c>
      <c r="AK3" s="128" t="s">
        <v>130</v>
      </c>
      <c r="AL3" s="129" t="s">
        <v>131</v>
      </c>
      <c r="AN3" s="96" t="s">
        <v>130</v>
      </c>
      <c r="AO3" s="95" t="s">
        <v>131</v>
      </c>
      <c r="AQ3" s="196" t="s">
        <v>130</v>
      </c>
      <c r="AR3" s="142" t="s">
        <v>131</v>
      </c>
      <c r="AT3" s="197" t="s">
        <v>130</v>
      </c>
      <c r="AU3" s="129" t="s">
        <v>131</v>
      </c>
      <c r="AW3" s="96" t="s">
        <v>130</v>
      </c>
      <c r="AX3" s="95" t="s">
        <v>131</v>
      </c>
      <c r="AZ3" s="96" t="s">
        <v>130</v>
      </c>
      <c r="BA3" s="95" t="s">
        <v>131</v>
      </c>
      <c r="BC3" s="139" t="s">
        <v>130</v>
      </c>
      <c r="BD3" s="95" t="s">
        <v>131</v>
      </c>
    </row>
    <row r="4" spans="1:57" x14ac:dyDescent="0.25">
      <c r="A4" s="167" t="s">
        <v>132</v>
      </c>
      <c r="B4" s="4"/>
      <c r="D4" s="137"/>
      <c r="E4" s="148"/>
      <c r="F4" s="39"/>
      <c r="G4" s="138"/>
      <c r="H4" s="138"/>
      <c r="J4" s="154"/>
      <c r="K4" s="154"/>
      <c r="M4" s="123"/>
      <c r="N4" s="123"/>
      <c r="P4" s="123"/>
      <c r="Q4" s="123"/>
      <c r="S4" s="140"/>
      <c r="T4" s="140"/>
      <c r="V4" s="75"/>
      <c r="AK4" s="131"/>
      <c r="AL4" s="131"/>
      <c r="AQ4" s="143"/>
      <c r="AR4" s="143"/>
      <c r="AT4" s="131"/>
      <c r="AU4" s="131"/>
    </row>
    <row r="5" spans="1:57" x14ac:dyDescent="0.25">
      <c r="A5" t="s">
        <v>133</v>
      </c>
      <c r="D5" s="162">
        <f>ROUND('AMT Silver Standard re 24Feb26'!D5+'AMT Silver Inc Cruise 24Feb26'!$B$57,2)</f>
        <v>35.04</v>
      </c>
      <c r="E5" s="162">
        <f>ROUND('AMT Silver Standard re 24Feb26'!E5+'AMT Silver Inc Cruise 24Feb26'!$B$58,2)</f>
        <v>63.11</v>
      </c>
      <c r="F5" s="81"/>
      <c r="G5" s="153">
        <f t="shared" ref="G5:H8" si="0">D5*SUM(1+$G$1/$Y$1)</f>
        <v>42.047999999999995</v>
      </c>
      <c r="H5" s="153">
        <f t="shared" si="0"/>
        <v>75.731999999999999</v>
      </c>
      <c r="I5" s="83"/>
      <c r="J5" s="155">
        <f>G5-D5</f>
        <v>7.0079999999999956</v>
      </c>
      <c r="K5" s="155">
        <f>H5-E5</f>
        <v>12.622</v>
      </c>
      <c r="L5" s="83"/>
      <c r="M5" s="134">
        <f>ROUND(D5*(1+$G$1*2),2)*SUM(1+$M$1)</f>
        <v>46.255000000000003</v>
      </c>
      <c r="N5" s="134">
        <f>ROUND(E5*(1+$G$1*2),2)*SUM(1+$M$1)</f>
        <v>83.303000000000011</v>
      </c>
      <c r="P5" s="134">
        <f>M5-D5</f>
        <v>11.215000000000003</v>
      </c>
      <c r="Q5" s="134">
        <f>N5-E5</f>
        <v>20.193000000000012</v>
      </c>
      <c r="S5" s="141">
        <f t="shared" ref="S5:T8" si="1">AK5/G5</f>
        <v>0.10012366818873669</v>
      </c>
      <c r="T5" s="141">
        <f t="shared" si="1"/>
        <v>9.9957745734960121E-2</v>
      </c>
      <c r="V5" s="41">
        <f t="shared" ref="V5:W8" si="2">SUM(D5/(1-$Y$1))</f>
        <v>70.08</v>
      </c>
      <c r="W5" s="41">
        <f t="shared" si="2"/>
        <v>126.22</v>
      </c>
      <c r="X5" s="82"/>
      <c r="Y5" s="41">
        <f>ROUND(D5/(1-$Y$1)*1.2,2)</f>
        <v>84.1</v>
      </c>
      <c r="Z5" s="41">
        <f>ROUND(E5/(1-$Y$1)*1.2,2)</f>
        <v>151.46</v>
      </c>
      <c r="AB5" s="182">
        <f>ROUNDDOWN(D5/(1-$Y$1)*1.2,1)</f>
        <v>84</v>
      </c>
      <c r="AC5" s="182">
        <f>ROUNDDOWN(E5/(1-$Y$1)*1.2,1)</f>
        <v>151.4</v>
      </c>
      <c r="AE5" s="40">
        <f>AB5/1.2</f>
        <v>70</v>
      </c>
      <c r="AF5" s="40">
        <f>AC5/1.2</f>
        <v>126.16666666666667</v>
      </c>
      <c r="AH5" s="40">
        <f>Y5-AB5</f>
        <v>9.9999999999994316E-2</v>
      </c>
      <c r="AI5" s="40">
        <f>Z5-AC5</f>
        <v>6.0000000000002274E-2</v>
      </c>
      <c r="AK5" s="130">
        <f t="shared" ref="AK5:AL8" si="3">ROUND(M5*(1-(1/(1+$AL$1))),2)</f>
        <v>4.21</v>
      </c>
      <c r="AL5" s="130">
        <f t="shared" si="3"/>
        <v>7.57</v>
      </c>
      <c r="AM5" s="40"/>
      <c r="AN5" s="40">
        <f>SUM(V5-G5)-AH5</f>
        <v>27.932000000000009</v>
      </c>
      <c r="AO5" s="40">
        <f>SUM(W5-H5)-AI5</f>
        <v>50.427999999999997</v>
      </c>
      <c r="AP5" s="40"/>
      <c r="AQ5" s="144">
        <f t="shared" ref="AQ5:AR8" si="4">(SUM(G5-D5)/D5*$Y$1)</f>
        <v>9.9999999999999936E-2</v>
      </c>
      <c r="AR5" s="144">
        <f t="shared" si="4"/>
        <v>0.1</v>
      </c>
      <c r="AS5" s="40"/>
      <c r="AT5" s="146">
        <f t="shared" ref="AT5:AU8" si="5">AN5/V5</f>
        <v>0.39857305936073073</v>
      </c>
      <c r="AU5" s="146">
        <f t="shared" si="5"/>
        <v>0.39952463951830136</v>
      </c>
      <c r="AV5" s="40"/>
      <c r="AW5" s="76">
        <f t="shared" ref="AW5:AX8" si="6">D5/V5</f>
        <v>0.5</v>
      </c>
      <c r="AX5" s="76">
        <f t="shared" si="6"/>
        <v>0.5</v>
      </c>
      <c r="AY5" s="42"/>
      <c r="AZ5" s="42">
        <f t="shared" ref="AZ5:BA8" si="7">J5+AN5</f>
        <v>34.940000000000005</v>
      </c>
      <c r="BA5" s="42">
        <f t="shared" si="7"/>
        <v>63.05</v>
      </c>
      <c r="BB5" s="42"/>
      <c r="BC5" s="76">
        <f t="shared" ref="BC5:BD8" si="8">AZ5/(D5/$Y$1)</f>
        <v>0.49857305936073065</v>
      </c>
      <c r="BD5" s="76">
        <f t="shared" si="8"/>
        <v>0.49952463951830134</v>
      </c>
      <c r="BE5" s="42"/>
    </row>
    <row r="6" spans="1:57" x14ac:dyDescent="0.25">
      <c r="A6" t="s">
        <v>134</v>
      </c>
      <c r="D6" s="162">
        <f>ROUND('AMT Silver Standard re 24Feb26'!D6+'AMT Silver Inc Cruise 24Feb26'!$B$57,2)</f>
        <v>51.66</v>
      </c>
      <c r="E6" s="162">
        <f>ROUND('AMT Silver Standard re 24Feb26'!E6+'AMT Silver Inc Cruise 24Feb26'!$B$58,2)</f>
        <v>92.87</v>
      </c>
      <c r="F6" s="81"/>
      <c r="G6" s="153">
        <f t="shared" si="0"/>
        <v>61.99199999999999</v>
      </c>
      <c r="H6" s="153">
        <f t="shared" si="0"/>
        <v>111.444</v>
      </c>
      <c r="I6" s="83"/>
      <c r="J6" s="155">
        <f>G6-D6</f>
        <v>10.331999999999994</v>
      </c>
      <c r="K6" s="155">
        <f>H6-E6</f>
        <v>18.573999999999998</v>
      </c>
      <c r="L6" s="83"/>
      <c r="M6" s="134">
        <f t="shared" ref="M6:N8" si="9">ROUND(D6*(1+$G$1*2),2)*SUM(1+$M$1)</f>
        <v>68.189000000000007</v>
      </c>
      <c r="N6" s="134">
        <f t="shared" si="9"/>
        <v>122.584</v>
      </c>
      <c r="P6" s="134">
        <f>M6-D6</f>
        <v>16.529000000000011</v>
      </c>
      <c r="Q6" s="134">
        <f>N6-E6</f>
        <v>29.713999999999999</v>
      </c>
      <c r="S6" s="141">
        <f t="shared" si="1"/>
        <v>0.10001290489095369</v>
      </c>
      <c r="T6" s="141">
        <f t="shared" si="1"/>
        <v>9.9960518287211517E-2</v>
      </c>
      <c r="V6" s="41">
        <f t="shared" si="2"/>
        <v>103.32</v>
      </c>
      <c r="W6" s="41">
        <f t="shared" si="2"/>
        <v>185.74</v>
      </c>
      <c r="X6" s="82"/>
      <c r="Y6" s="41">
        <f t="shared" ref="Y6:Z8" si="10">ROUND(D6/(1-$Y$1)*1.2,2)</f>
        <v>123.98</v>
      </c>
      <c r="Z6" s="41">
        <f t="shared" si="10"/>
        <v>222.89</v>
      </c>
      <c r="AB6" s="182">
        <f t="shared" ref="AB6:AC8" si="11">ROUNDDOWN(D6/(1-$Y$1)*1.2,1)</f>
        <v>123.9</v>
      </c>
      <c r="AC6" s="182">
        <f t="shared" si="11"/>
        <v>222.8</v>
      </c>
      <c r="AE6" s="40">
        <f t="shared" ref="AE6:AF8" si="12">AB6/1.2</f>
        <v>103.25000000000001</v>
      </c>
      <c r="AF6" s="40">
        <f t="shared" si="12"/>
        <v>185.66666666666669</v>
      </c>
      <c r="AH6" s="40">
        <f t="shared" ref="AH6:AI8" si="13">Y6-AB6</f>
        <v>7.9999999999998295E-2</v>
      </c>
      <c r="AI6" s="40">
        <f t="shared" si="13"/>
        <v>8.9999999999974989E-2</v>
      </c>
      <c r="AK6" s="130">
        <f t="shared" si="3"/>
        <v>6.2</v>
      </c>
      <c r="AL6" s="130">
        <f t="shared" si="3"/>
        <v>11.14</v>
      </c>
      <c r="AM6" s="40"/>
      <c r="AN6" s="40">
        <f t="shared" ref="AN6:AN8" si="14">SUM(V6-G6)-AH6</f>
        <v>41.248000000000005</v>
      </c>
      <c r="AO6" s="40">
        <f t="shared" ref="AO6:AO8" si="15">SUM(W6-H6)-AI6</f>
        <v>74.206000000000031</v>
      </c>
      <c r="AP6" s="40"/>
      <c r="AQ6" s="144">
        <f t="shared" si="4"/>
        <v>9.999999999999995E-2</v>
      </c>
      <c r="AR6" s="144">
        <f t="shared" si="4"/>
        <v>9.9999999999999978E-2</v>
      </c>
      <c r="AS6" s="40"/>
      <c r="AT6" s="146">
        <f t="shared" si="5"/>
        <v>0.39922570654277978</v>
      </c>
      <c r="AU6" s="146">
        <f t="shared" si="5"/>
        <v>0.3995154517066869</v>
      </c>
      <c r="AV6" s="40"/>
      <c r="AW6" s="76">
        <f t="shared" si="6"/>
        <v>0.5</v>
      </c>
      <c r="AX6" s="76">
        <f t="shared" si="6"/>
        <v>0.5</v>
      </c>
      <c r="AY6" s="42"/>
      <c r="AZ6" s="42">
        <f t="shared" si="7"/>
        <v>51.58</v>
      </c>
      <c r="BA6" s="42">
        <f t="shared" si="7"/>
        <v>92.78000000000003</v>
      </c>
      <c r="BB6" s="42"/>
      <c r="BC6" s="76">
        <f t="shared" si="8"/>
        <v>0.49922570654277976</v>
      </c>
      <c r="BD6" s="76">
        <f t="shared" si="8"/>
        <v>0.49951545170668687</v>
      </c>
      <c r="BE6" s="42"/>
    </row>
    <row r="7" spans="1:57" x14ac:dyDescent="0.25">
      <c r="A7" t="s">
        <v>135</v>
      </c>
      <c r="D7" s="162">
        <f>ROUND('AMT Silver Standard re 24Feb26'!D7+'AMT Silver Inc Cruise 24Feb26'!$B$57,2)</f>
        <v>57.55</v>
      </c>
      <c r="E7" s="162">
        <f>ROUND('AMT Silver Standard re 24Feb26'!E7+'AMT Silver Inc Cruise 24Feb26'!$B$58,2)</f>
        <v>105.8</v>
      </c>
      <c r="F7" s="81"/>
      <c r="G7" s="153">
        <f t="shared" si="0"/>
        <v>69.059999999999988</v>
      </c>
      <c r="H7" s="153">
        <f t="shared" si="0"/>
        <v>126.96</v>
      </c>
      <c r="J7" s="155">
        <f t="shared" ref="J7:K8" si="16">G7-D7</f>
        <v>11.509999999999991</v>
      </c>
      <c r="K7" s="155">
        <f t="shared" si="16"/>
        <v>21.159999999999997</v>
      </c>
      <c r="M7" s="134">
        <f t="shared" si="9"/>
        <v>75.966000000000008</v>
      </c>
      <c r="N7" s="134">
        <f t="shared" si="9"/>
        <v>139.65600000000001</v>
      </c>
      <c r="P7" s="134">
        <f t="shared" ref="P7:Q8" si="17">M7-D7</f>
        <v>18.416000000000011</v>
      </c>
      <c r="Q7" s="134">
        <f t="shared" si="17"/>
        <v>33.856000000000009</v>
      </c>
      <c r="S7" s="141">
        <f t="shared" si="1"/>
        <v>0.10005792064871129</v>
      </c>
      <c r="T7" s="141">
        <f t="shared" si="1"/>
        <v>0.10003150598613736</v>
      </c>
      <c r="V7" s="41">
        <f t="shared" si="2"/>
        <v>115.1</v>
      </c>
      <c r="W7" s="41">
        <f t="shared" si="2"/>
        <v>211.6</v>
      </c>
      <c r="Y7" s="41">
        <f t="shared" si="10"/>
        <v>138.12</v>
      </c>
      <c r="Z7" s="41">
        <f t="shared" si="10"/>
        <v>253.92</v>
      </c>
      <c r="AB7" s="182">
        <f t="shared" si="11"/>
        <v>138.1</v>
      </c>
      <c r="AC7" s="182">
        <f t="shared" si="11"/>
        <v>253.9</v>
      </c>
      <c r="AE7" s="40">
        <f t="shared" si="12"/>
        <v>115.08333333333333</v>
      </c>
      <c r="AF7" s="40">
        <f t="shared" si="12"/>
        <v>211.58333333333334</v>
      </c>
      <c r="AH7" s="40">
        <f t="shared" si="13"/>
        <v>2.0000000000010232E-2</v>
      </c>
      <c r="AI7" s="40">
        <f t="shared" si="13"/>
        <v>1.999999999998181E-2</v>
      </c>
      <c r="AK7" s="130">
        <f t="shared" si="3"/>
        <v>6.91</v>
      </c>
      <c r="AL7" s="130">
        <f t="shared" si="3"/>
        <v>12.7</v>
      </c>
      <c r="AM7" s="40"/>
      <c r="AN7" s="40">
        <f t="shared" si="14"/>
        <v>46.019999999999996</v>
      </c>
      <c r="AO7" s="40">
        <f t="shared" si="15"/>
        <v>84.620000000000019</v>
      </c>
      <c r="AP7" s="40"/>
      <c r="AQ7" s="144">
        <f t="shared" si="4"/>
        <v>9.9999999999999922E-2</v>
      </c>
      <c r="AR7" s="144">
        <f t="shared" si="4"/>
        <v>9.9999999999999992E-2</v>
      </c>
      <c r="AS7" s="40"/>
      <c r="AT7" s="146">
        <f t="shared" si="5"/>
        <v>0.39982623805386619</v>
      </c>
      <c r="AU7" s="146">
        <f t="shared" si="5"/>
        <v>0.39990548204158799</v>
      </c>
      <c r="AV7" s="40"/>
      <c r="AW7" s="76">
        <f t="shared" si="6"/>
        <v>0.5</v>
      </c>
      <c r="AX7" s="76">
        <f t="shared" si="6"/>
        <v>0.5</v>
      </c>
      <c r="AY7" s="42"/>
      <c r="AZ7" s="42">
        <f t="shared" si="7"/>
        <v>57.529999999999987</v>
      </c>
      <c r="BA7" s="42">
        <f t="shared" si="7"/>
        <v>105.78000000000002</v>
      </c>
      <c r="BB7" s="42"/>
      <c r="BC7" s="76">
        <f t="shared" si="8"/>
        <v>0.49982623805386611</v>
      </c>
      <c r="BD7" s="76">
        <f t="shared" si="8"/>
        <v>0.49990548204158797</v>
      </c>
      <c r="BE7" s="42"/>
    </row>
    <row r="8" spans="1:57" x14ac:dyDescent="0.25">
      <c r="A8" t="s">
        <v>136</v>
      </c>
      <c r="D8" s="162">
        <f>ROUND('AMT Silver Standard re 24Feb26'!D8+'AMT Silver Inc Cruise 24Feb26'!$B$57,2)</f>
        <v>59.92</v>
      </c>
      <c r="E8" s="162">
        <f>ROUND('AMT Silver Standard re 24Feb26'!E8+'AMT Silver Inc Cruise 24Feb26'!$B$58,2)</f>
        <v>108.97</v>
      </c>
      <c r="F8" s="81"/>
      <c r="G8" s="153">
        <f t="shared" si="0"/>
        <v>71.903999999999996</v>
      </c>
      <c r="H8" s="153">
        <f t="shared" si="0"/>
        <v>130.76399999999998</v>
      </c>
      <c r="J8" s="155">
        <f t="shared" si="16"/>
        <v>11.983999999999995</v>
      </c>
      <c r="K8" s="155">
        <f t="shared" si="16"/>
        <v>21.793999999999983</v>
      </c>
      <c r="M8" s="134">
        <f t="shared" si="9"/>
        <v>79.090000000000018</v>
      </c>
      <c r="N8" s="134">
        <f t="shared" si="9"/>
        <v>143.83600000000001</v>
      </c>
      <c r="P8" s="134">
        <f t="shared" si="17"/>
        <v>19.170000000000016</v>
      </c>
      <c r="Q8" s="134">
        <f t="shared" si="17"/>
        <v>34.866000000000014</v>
      </c>
      <c r="S8" s="141">
        <f t="shared" si="1"/>
        <v>9.9994437027147318E-2</v>
      </c>
      <c r="T8" s="141">
        <f t="shared" si="1"/>
        <v>0.10002753051298524</v>
      </c>
      <c r="V8" s="41">
        <f t="shared" si="2"/>
        <v>119.84</v>
      </c>
      <c r="W8" s="41">
        <f t="shared" si="2"/>
        <v>217.94</v>
      </c>
      <c r="Y8" s="41">
        <f t="shared" si="10"/>
        <v>143.81</v>
      </c>
      <c r="Z8" s="41">
        <f t="shared" si="10"/>
        <v>261.52999999999997</v>
      </c>
      <c r="AB8" s="182">
        <f t="shared" si="11"/>
        <v>143.80000000000001</v>
      </c>
      <c r="AC8" s="182">
        <f t="shared" si="11"/>
        <v>261.5</v>
      </c>
      <c r="AE8" s="40">
        <f t="shared" si="12"/>
        <v>119.83333333333334</v>
      </c>
      <c r="AF8" s="40">
        <f t="shared" si="12"/>
        <v>217.91666666666669</v>
      </c>
      <c r="AH8" s="40">
        <f t="shared" si="13"/>
        <v>9.9999999999909051E-3</v>
      </c>
      <c r="AI8" s="40">
        <f t="shared" si="13"/>
        <v>2.9999999999972715E-2</v>
      </c>
      <c r="AK8" s="130">
        <f t="shared" si="3"/>
        <v>7.19</v>
      </c>
      <c r="AL8" s="130">
        <f t="shared" si="3"/>
        <v>13.08</v>
      </c>
      <c r="AM8" s="40"/>
      <c r="AN8" s="40">
        <f t="shared" si="14"/>
        <v>47.926000000000016</v>
      </c>
      <c r="AO8" s="40">
        <f t="shared" si="15"/>
        <v>87.146000000000043</v>
      </c>
      <c r="AP8" s="40"/>
      <c r="AQ8" s="144">
        <f t="shared" si="4"/>
        <v>9.999999999999995E-2</v>
      </c>
      <c r="AR8" s="144">
        <f t="shared" si="4"/>
        <v>9.9999999999999922E-2</v>
      </c>
      <c r="AS8" s="40"/>
      <c r="AT8" s="146">
        <f t="shared" si="5"/>
        <v>0.39991655540720972</v>
      </c>
      <c r="AU8" s="146">
        <f t="shared" si="5"/>
        <v>0.39986234743507409</v>
      </c>
      <c r="AV8" s="40"/>
      <c r="AW8" s="76">
        <f t="shared" si="6"/>
        <v>0.5</v>
      </c>
      <c r="AX8" s="76">
        <f t="shared" si="6"/>
        <v>0.5</v>
      </c>
      <c r="AY8" s="42"/>
      <c r="AZ8" s="42">
        <f t="shared" si="7"/>
        <v>59.910000000000011</v>
      </c>
      <c r="BA8" s="42">
        <f t="shared" si="7"/>
        <v>108.94000000000003</v>
      </c>
      <c r="BB8" s="42"/>
      <c r="BC8" s="76">
        <f t="shared" si="8"/>
        <v>0.4999165554072097</v>
      </c>
      <c r="BD8" s="76">
        <f t="shared" si="8"/>
        <v>0.49986234743507402</v>
      </c>
      <c r="BE8" s="42"/>
    </row>
    <row r="9" spans="1:57" x14ac:dyDescent="0.25">
      <c r="A9"/>
      <c r="D9" s="162"/>
      <c r="E9" s="162"/>
      <c r="F9" s="41"/>
      <c r="G9" s="153"/>
      <c r="H9" s="153"/>
      <c r="I9" s="75"/>
      <c r="J9" s="156"/>
      <c r="K9" s="156"/>
      <c r="L9" s="75"/>
      <c r="M9" s="134"/>
      <c r="N9" s="134"/>
      <c r="P9" s="134"/>
      <c r="Q9" s="134"/>
      <c r="S9" s="140"/>
      <c r="T9" s="140"/>
      <c r="V9" s="40"/>
      <c r="W9" s="40"/>
      <c r="Y9" s="41"/>
      <c r="Z9" s="41"/>
      <c r="AK9" s="130"/>
      <c r="AL9" s="130"/>
      <c r="AM9" s="40"/>
      <c r="AN9" s="40"/>
      <c r="AO9" s="40"/>
      <c r="AP9" s="40"/>
      <c r="AQ9" s="145"/>
      <c r="AR9" s="145"/>
      <c r="AS9" s="40"/>
      <c r="AT9" s="146"/>
      <c r="AU9" s="146"/>
      <c r="AV9" s="40"/>
      <c r="AW9" s="76"/>
      <c r="AX9" s="76"/>
      <c r="AY9" s="42"/>
      <c r="AZ9" s="42"/>
      <c r="BA9" s="42"/>
      <c r="BB9" s="42"/>
      <c r="BC9" s="76"/>
      <c r="BD9" s="76"/>
      <c r="BE9" s="42"/>
    </row>
    <row r="10" spans="1:57" x14ac:dyDescent="0.25">
      <c r="A10" s="167" t="s">
        <v>137</v>
      </c>
      <c r="B10" s="4"/>
      <c r="D10" s="162"/>
      <c r="E10" s="162"/>
      <c r="F10" s="41"/>
      <c r="G10" s="153"/>
      <c r="H10" s="153"/>
      <c r="J10" s="154"/>
      <c r="K10" s="154"/>
      <c r="M10" s="134"/>
      <c r="N10" s="134"/>
      <c r="P10" s="134"/>
      <c r="Q10" s="134"/>
      <c r="S10" s="140"/>
      <c r="T10" s="140"/>
      <c r="V10" s="40"/>
      <c r="W10" s="40"/>
      <c r="Y10" s="41"/>
      <c r="Z10" s="41"/>
      <c r="AK10" s="130"/>
      <c r="AL10" s="130"/>
      <c r="AM10" s="40"/>
      <c r="AN10" s="40"/>
      <c r="AO10" s="40"/>
      <c r="AP10" s="40"/>
      <c r="AQ10" s="145"/>
      <c r="AR10" s="145"/>
      <c r="AS10" s="40"/>
      <c r="AT10" s="146"/>
      <c r="AU10" s="146"/>
      <c r="AV10" s="40"/>
      <c r="AW10" s="76"/>
      <c r="AX10" s="76"/>
      <c r="AY10" s="42"/>
      <c r="AZ10" s="42"/>
      <c r="BA10" s="42"/>
      <c r="BB10" s="42"/>
      <c r="BC10" s="76"/>
      <c r="BD10" s="76"/>
      <c r="BE10" s="42"/>
    </row>
    <row r="11" spans="1:57" x14ac:dyDescent="0.25">
      <c r="A11" t="s">
        <v>133</v>
      </c>
      <c r="D11" s="162">
        <f>ROUND('AMT Silver Standard re 24Feb26'!D11+'AMT Silver Inc Cruise 24Feb26'!$B$57,2)</f>
        <v>35.04</v>
      </c>
      <c r="E11" s="162">
        <f>ROUND('AMT Silver Standard re 24Feb26'!E11+'AMT Silver Inc Cruise 24Feb26'!$B$58,2)</f>
        <v>63.11</v>
      </c>
      <c r="F11" s="81"/>
      <c r="G11" s="153">
        <f t="shared" ref="G11:H14" si="18">D11*SUM(1+$G$1/$Y$1)</f>
        <v>42.047999999999995</v>
      </c>
      <c r="H11" s="153">
        <f t="shared" si="18"/>
        <v>75.731999999999999</v>
      </c>
      <c r="J11" s="155">
        <f t="shared" ref="J11:K14" si="19">G11-D11</f>
        <v>7.0079999999999956</v>
      </c>
      <c r="K11" s="155">
        <f t="shared" si="19"/>
        <v>12.622</v>
      </c>
      <c r="M11" s="134">
        <f>ROUND(D11*(1+$G$1*2),2)*SUM(1+$M$1)</f>
        <v>46.255000000000003</v>
      </c>
      <c r="N11" s="134">
        <f>ROUND(E11*(1+$G$1*2),2)*SUM(1+$M$1)</f>
        <v>83.303000000000011</v>
      </c>
      <c r="P11" s="134">
        <f t="shared" ref="P11:Q14" si="20">M11-D11</f>
        <v>11.215000000000003</v>
      </c>
      <c r="Q11" s="134">
        <f t="shared" si="20"/>
        <v>20.193000000000012</v>
      </c>
      <c r="S11" s="141">
        <f t="shared" ref="S11:T14" si="21">AK11/G11</f>
        <v>0.10012366818873669</v>
      </c>
      <c r="T11" s="141">
        <f t="shared" si="21"/>
        <v>9.9957745734960121E-2</v>
      </c>
      <c r="V11" s="41">
        <f t="shared" ref="V11:W14" si="22">SUM(D11/(1-$Y$1))</f>
        <v>70.08</v>
      </c>
      <c r="W11" s="41">
        <f t="shared" si="22"/>
        <v>126.22</v>
      </c>
      <c r="Y11" s="41">
        <f>ROUND(D11/(1-$Y$1)*1.2,2)</f>
        <v>84.1</v>
      </c>
      <c r="Z11" s="41">
        <f>ROUND(E11/(1-$Y$1)*1.2,2)</f>
        <v>151.46</v>
      </c>
      <c r="AB11" s="182">
        <f t="shared" ref="AB11:AC14" si="23">ROUNDDOWN(D11/(1-$Y$1)*1.2,1)</f>
        <v>84</v>
      </c>
      <c r="AC11" s="182">
        <f t="shared" si="23"/>
        <v>151.4</v>
      </c>
      <c r="AE11" s="40">
        <f t="shared" ref="AE11:AF14" si="24">AB11/1.2</f>
        <v>70</v>
      </c>
      <c r="AF11" s="40">
        <f t="shared" si="24"/>
        <v>126.16666666666667</v>
      </c>
      <c r="AH11" s="40">
        <f t="shared" ref="AH11:AI14" si="25">Y11-AB11</f>
        <v>9.9999999999994316E-2</v>
      </c>
      <c r="AI11" s="40">
        <f t="shared" si="25"/>
        <v>6.0000000000002274E-2</v>
      </c>
      <c r="AK11" s="130">
        <f t="shared" ref="AK11:AL14" si="26">ROUND(M11*(1-(1/(1+$AL$1))),2)</f>
        <v>4.21</v>
      </c>
      <c r="AL11" s="130">
        <f t="shared" si="26"/>
        <v>7.57</v>
      </c>
      <c r="AM11" s="40"/>
      <c r="AN11" s="40">
        <f t="shared" ref="AN11:AN14" si="27">SUM(V11-G11)-AH11</f>
        <v>27.932000000000009</v>
      </c>
      <c r="AO11" s="40">
        <f t="shared" ref="AO11:AO14" si="28">SUM(W11-H11)-AI11</f>
        <v>50.427999999999997</v>
      </c>
      <c r="AP11" s="40"/>
      <c r="AQ11" s="144">
        <f t="shared" ref="AQ11:AR14" si="29">(SUM(G11-D11)/D11*$Y$1)</f>
        <v>9.9999999999999936E-2</v>
      </c>
      <c r="AR11" s="144">
        <f t="shared" si="29"/>
        <v>0.1</v>
      </c>
      <c r="AS11" s="40"/>
      <c r="AT11" s="146">
        <f t="shared" ref="AT11:AU14" si="30">AN11/V11</f>
        <v>0.39857305936073073</v>
      </c>
      <c r="AU11" s="146">
        <f t="shared" si="30"/>
        <v>0.39952463951830136</v>
      </c>
      <c r="AV11" s="40"/>
      <c r="AW11" s="76">
        <f t="shared" ref="AW11:AX14" si="31">D11/V11</f>
        <v>0.5</v>
      </c>
      <c r="AX11" s="76">
        <f t="shared" si="31"/>
        <v>0.5</v>
      </c>
      <c r="AY11" s="42"/>
      <c r="AZ11" s="42">
        <f t="shared" ref="AZ11:BA14" si="32">J11+AN11</f>
        <v>34.940000000000005</v>
      </c>
      <c r="BA11" s="42">
        <f t="shared" si="32"/>
        <v>63.05</v>
      </c>
      <c r="BB11" s="42"/>
      <c r="BC11" s="76">
        <f t="shared" ref="BC11:BD14" si="33">AZ11/(D11/$Y$1)</f>
        <v>0.49857305936073065</v>
      </c>
      <c r="BD11" s="76">
        <f t="shared" si="33"/>
        <v>0.49952463951830134</v>
      </c>
      <c r="BE11" s="42"/>
    </row>
    <row r="12" spans="1:57" x14ac:dyDescent="0.25">
      <c r="A12" t="s">
        <v>134</v>
      </c>
      <c r="D12" s="162">
        <f>ROUND('AMT Silver Standard re 24Feb26'!D12+'AMT Silver Inc Cruise 24Feb26'!$B$57,2)</f>
        <v>51.66</v>
      </c>
      <c r="E12" s="162">
        <f>ROUND('AMT Silver Standard re 24Feb26'!E12+'AMT Silver Inc Cruise 24Feb26'!$B$58,2)</f>
        <v>92.87</v>
      </c>
      <c r="F12" s="81"/>
      <c r="G12" s="153">
        <f t="shared" si="18"/>
        <v>61.99199999999999</v>
      </c>
      <c r="H12" s="153">
        <f t="shared" si="18"/>
        <v>111.444</v>
      </c>
      <c r="J12" s="155">
        <f t="shared" si="19"/>
        <v>10.331999999999994</v>
      </c>
      <c r="K12" s="155">
        <f t="shared" si="19"/>
        <v>18.573999999999998</v>
      </c>
      <c r="M12" s="134">
        <f>ROUND(D12*(1+$G$1*2),2)*SUM(1+$M$1)</f>
        <v>68.189000000000007</v>
      </c>
      <c r="N12" s="134">
        <f t="shared" ref="M12:N14" si="34">ROUND(E12*(1+$G$1*2),2)*SUM(1+$M$1)</f>
        <v>122.584</v>
      </c>
      <c r="P12" s="134">
        <f t="shared" si="20"/>
        <v>16.529000000000011</v>
      </c>
      <c r="Q12" s="134">
        <f t="shared" si="20"/>
        <v>29.713999999999999</v>
      </c>
      <c r="S12" s="141">
        <f t="shared" si="21"/>
        <v>0.10001290489095369</v>
      </c>
      <c r="T12" s="141">
        <f t="shared" si="21"/>
        <v>9.9960518287211517E-2</v>
      </c>
      <c r="V12" s="41">
        <f t="shared" si="22"/>
        <v>103.32</v>
      </c>
      <c r="W12" s="41">
        <f t="shared" si="22"/>
        <v>185.74</v>
      </c>
      <c r="Y12" s="41">
        <f t="shared" ref="Y12:Z14" si="35">ROUND(D12/(1-$Y$1)*1.2,2)</f>
        <v>123.98</v>
      </c>
      <c r="Z12" s="41">
        <f t="shared" si="35"/>
        <v>222.89</v>
      </c>
      <c r="AB12" s="182">
        <f t="shared" si="23"/>
        <v>123.9</v>
      </c>
      <c r="AC12" s="182">
        <f t="shared" si="23"/>
        <v>222.8</v>
      </c>
      <c r="AE12" s="40">
        <f t="shared" si="24"/>
        <v>103.25000000000001</v>
      </c>
      <c r="AF12" s="40">
        <f t="shared" si="24"/>
        <v>185.66666666666669</v>
      </c>
      <c r="AH12" s="40">
        <f t="shared" si="25"/>
        <v>7.9999999999998295E-2</v>
      </c>
      <c r="AI12" s="40">
        <f t="shared" si="25"/>
        <v>8.9999999999974989E-2</v>
      </c>
      <c r="AK12" s="130">
        <f t="shared" si="26"/>
        <v>6.2</v>
      </c>
      <c r="AL12" s="130">
        <f t="shared" si="26"/>
        <v>11.14</v>
      </c>
      <c r="AM12" s="40"/>
      <c r="AN12" s="40">
        <f t="shared" si="27"/>
        <v>41.248000000000005</v>
      </c>
      <c r="AO12" s="40">
        <f t="shared" si="28"/>
        <v>74.206000000000031</v>
      </c>
      <c r="AP12" s="40"/>
      <c r="AQ12" s="144">
        <f t="shared" si="29"/>
        <v>9.999999999999995E-2</v>
      </c>
      <c r="AR12" s="144">
        <f t="shared" si="29"/>
        <v>9.9999999999999978E-2</v>
      </c>
      <c r="AS12" s="40"/>
      <c r="AT12" s="146">
        <f t="shared" si="30"/>
        <v>0.39922570654277978</v>
      </c>
      <c r="AU12" s="146">
        <f t="shared" si="30"/>
        <v>0.3995154517066869</v>
      </c>
      <c r="AV12" s="40"/>
      <c r="AW12" s="76">
        <f t="shared" si="31"/>
        <v>0.5</v>
      </c>
      <c r="AX12" s="76">
        <f t="shared" si="31"/>
        <v>0.5</v>
      </c>
      <c r="AY12" s="42"/>
      <c r="AZ12" s="42">
        <f t="shared" si="32"/>
        <v>51.58</v>
      </c>
      <c r="BA12" s="42">
        <f t="shared" si="32"/>
        <v>92.78000000000003</v>
      </c>
      <c r="BB12" s="42"/>
      <c r="BC12" s="76">
        <f t="shared" si="33"/>
        <v>0.49922570654277976</v>
      </c>
      <c r="BD12" s="76">
        <f t="shared" si="33"/>
        <v>0.49951545170668687</v>
      </c>
      <c r="BE12" s="42"/>
    </row>
    <row r="13" spans="1:57" x14ac:dyDescent="0.25">
      <c r="A13" t="s">
        <v>135</v>
      </c>
      <c r="D13" s="162">
        <f>ROUND('AMT Silver Standard re 24Feb26'!D13+'AMT Silver Inc Cruise 24Feb26'!$B$57,2)</f>
        <v>57.55</v>
      </c>
      <c r="E13" s="162">
        <f>ROUND('AMT Silver Standard re 24Feb26'!E13+'AMT Silver Inc Cruise 24Feb26'!$B$58,2)</f>
        <v>105.8</v>
      </c>
      <c r="F13" s="81"/>
      <c r="G13" s="153">
        <f t="shared" si="18"/>
        <v>69.059999999999988</v>
      </c>
      <c r="H13" s="153">
        <f t="shared" si="18"/>
        <v>126.96</v>
      </c>
      <c r="J13" s="155">
        <f t="shared" si="19"/>
        <v>11.509999999999991</v>
      </c>
      <c r="K13" s="155">
        <f t="shared" si="19"/>
        <v>21.159999999999997</v>
      </c>
      <c r="M13" s="134">
        <f t="shared" si="34"/>
        <v>75.966000000000008</v>
      </c>
      <c r="N13" s="134">
        <f t="shared" si="34"/>
        <v>139.65600000000001</v>
      </c>
      <c r="P13" s="134">
        <f t="shared" si="20"/>
        <v>18.416000000000011</v>
      </c>
      <c r="Q13" s="134">
        <f t="shared" si="20"/>
        <v>33.856000000000009</v>
      </c>
      <c r="S13" s="141">
        <f t="shared" si="21"/>
        <v>0.10005792064871129</v>
      </c>
      <c r="T13" s="141">
        <f t="shared" si="21"/>
        <v>0.10003150598613736</v>
      </c>
      <c r="V13" s="41">
        <f t="shared" si="22"/>
        <v>115.1</v>
      </c>
      <c r="W13" s="41">
        <f t="shared" si="22"/>
        <v>211.6</v>
      </c>
      <c r="Y13" s="41">
        <f t="shared" si="35"/>
        <v>138.12</v>
      </c>
      <c r="Z13" s="41">
        <f t="shared" si="35"/>
        <v>253.92</v>
      </c>
      <c r="AB13" s="182">
        <f t="shared" si="23"/>
        <v>138.1</v>
      </c>
      <c r="AC13" s="182">
        <f t="shared" si="23"/>
        <v>253.9</v>
      </c>
      <c r="AE13" s="40">
        <f t="shared" si="24"/>
        <v>115.08333333333333</v>
      </c>
      <c r="AF13" s="40">
        <f t="shared" si="24"/>
        <v>211.58333333333334</v>
      </c>
      <c r="AH13" s="40">
        <f t="shared" si="25"/>
        <v>2.0000000000010232E-2</v>
      </c>
      <c r="AI13" s="40">
        <f t="shared" si="25"/>
        <v>1.999999999998181E-2</v>
      </c>
      <c r="AK13" s="130">
        <f t="shared" si="26"/>
        <v>6.91</v>
      </c>
      <c r="AL13" s="130">
        <f t="shared" si="26"/>
        <v>12.7</v>
      </c>
      <c r="AM13" s="40"/>
      <c r="AN13" s="40">
        <f t="shared" si="27"/>
        <v>46.019999999999996</v>
      </c>
      <c r="AO13" s="40">
        <f t="shared" si="28"/>
        <v>84.620000000000019</v>
      </c>
      <c r="AP13" s="40"/>
      <c r="AQ13" s="144">
        <f t="shared" si="29"/>
        <v>9.9999999999999922E-2</v>
      </c>
      <c r="AR13" s="144">
        <f t="shared" si="29"/>
        <v>9.9999999999999992E-2</v>
      </c>
      <c r="AS13" s="40"/>
      <c r="AT13" s="146">
        <f t="shared" si="30"/>
        <v>0.39982623805386619</v>
      </c>
      <c r="AU13" s="146">
        <f t="shared" si="30"/>
        <v>0.39990548204158799</v>
      </c>
      <c r="AV13" s="40"/>
      <c r="AW13" s="76">
        <f t="shared" si="31"/>
        <v>0.5</v>
      </c>
      <c r="AX13" s="76">
        <f t="shared" si="31"/>
        <v>0.5</v>
      </c>
      <c r="AY13" s="42"/>
      <c r="AZ13" s="42">
        <f t="shared" si="32"/>
        <v>57.529999999999987</v>
      </c>
      <c r="BA13" s="42">
        <f t="shared" si="32"/>
        <v>105.78000000000002</v>
      </c>
      <c r="BB13" s="42"/>
      <c r="BC13" s="76">
        <f t="shared" si="33"/>
        <v>0.49982623805386611</v>
      </c>
      <c r="BD13" s="76">
        <f t="shared" si="33"/>
        <v>0.49990548204158797</v>
      </c>
      <c r="BE13" s="42"/>
    </row>
    <row r="14" spans="1:57" x14ac:dyDescent="0.25">
      <c r="A14" t="s">
        <v>136</v>
      </c>
      <c r="D14" s="162">
        <f>ROUND('AMT Silver Standard re 24Feb26'!D14+'AMT Silver Inc Cruise 24Feb26'!$B$57,2)</f>
        <v>59.92</v>
      </c>
      <c r="E14" s="162">
        <f>ROUND('AMT Silver Standard re 24Feb26'!E14+'AMT Silver Inc Cruise 24Feb26'!$B$58,2)</f>
        <v>108.97</v>
      </c>
      <c r="F14" s="81"/>
      <c r="G14" s="153">
        <f t="shared" si="18"/>
        <v>71.903999999999996</v>
      </c>
      <c r="H14" s="153">
        <f t="shared" si="18"/>
        <v>130.76399999999998</v>
      </c>
      <c r="J14" s="155">
        <f t="shared" si="19"/>
        <v>11.983999999999995</v>
      </c>
      <c r="K14" s="155">
        <f t="shared" si="19"/>
        <v>21.793999999999983</v>
      </c>
      <c r="M14" s="134">
        <f t="shared" si="34"/>
        <v>79.090000000000018</v>
      </c>
      <c r="N14" s="134">
        <f t="shared" si="34"/>
        <v>143.83600000000001</v>
      </c>
      <c r="P14" s="134">
        <f t="shared" si="20"/>
        <v>19.170000000000016</v>
      </c>
      <c r="Q14" s="134">
        <f t="shared" si="20"/>
        <v>34.866000000000014</v>
      </c>
      <c r="S14" s="141">
        <f t="shared" si="21"/>
        <v>9.9994437027147318E-2</v>
      </c>
      <c r="T14" s="141">
        <f t="shared" si="21"/>
        <v>0.10002753051298524</v>
      </c>
      <c r="V14" s="41">
        <f t="shared" si="22"/>
        <v>119.84</v>
      </c>
      <c r="W14" s="41">
        <f t="shared" si="22"/>
        <v>217.94</v>
      </c>
      <c r="Y14" s="41">
        <f t="shared" si="35"/>
        <v>143.81</v>
      </c>
      <c r="Z14" s="41">
        <f t="shared" si="35"/>
        <v>261.52999999999997</v>
      </c>
      <c r="AB14" s="182">
        <f t="shared" si="23"/>
        <v>143.80000000000001</v>
      </c>
      <c r="AC14" s="182">
        <f t="shared" si="23"/>
        <v>261.5</v>
      </c>
      <c r="AE14" s="40">
        <f t="shared" si="24"/>
        <v>119.83333333333334</v>
      </c>
      <c r="AF14" s="40">
        <f t="shared" si="24"/>
        <v>217.91666666666669</v>
      </c>
      <c r="AH14" s="40">
        <f t="shared" si="25"/>
        <v>9.9999999999909051E-3</v>
      </c>
      <c r="AI14" s="40">
        <f t="shared" si="25"/>
        <v>2.9999999999972715E-2</v>
      </c>
      <c r="AK14" s="130">
        <f t="shared" si="26"/>
        <v>7.19</v>
      </c>
      <c r="AL14" s="130">
        <f t="shared" si="26"/>
        <v>13.08</v>
      </c>
      <c r="AM14" s="40"/>
      <c r="AN14" s="40">
        <f t="shared" si="27"/>
        <v>47.926000000000016</v>
      </c>
      <c r="AO14" s="40">
        <f t="shared" si="28"/>
        <v>87.146000000000043</v>
      </c>
      <c r="AP14" s="40"/>
      <c r="AQ14" s="144">
        <f t="shared" si="29"/>
        <v>9.999999999999995E-2</v>
      </c>
      <c r="AR14" s="144">
        <f t="shared" si="29"/>
        <v>9.9999999999999922E-2</v>
      </c>
      <c r="AS14" s="40"/>
      <c r="AT14" s="146">
        <f t="shared" si="30"/>
        <v>0.39991655540720972</v>
      </c>
      <c r="AU14" s="146">
        <f t="shared" si="30"/>
        <v>0.39986234743507409</v>
      </c>
      <c r="AV14" s="40"/>
      <c r="AW14" s="76">
        <f t="shared" si="31"/>
        <v>0.5</v>
      </c>
      <c r="AX14" s="76">
        <f t="shared" si="31"/>
        <v>0.5</v>
      </c>
      <c r="AY14" s="42"/>
      <c r="AZ14" s="42">
        <f t="shared" si="32"/>
        <v>59.910000000000011</v>
      </c>
      <c r="BA14" s="42">
        <f t="shared" si="32"/>
        <v>108.94000000000003</v>
      </c>
      <c r="BB14" s="42"/>
      <c r="BC14" s="76">
        <f t="shared" si="33"/>
        <v>0.4999165554072097</v>
      </c>
      <c r="BD14" s="76">
        <f t="shared" si="33"/>
        <v>0.49986234743507402</v>
      </c>
      <c r="BE14" s="42"/>
    </row>
    <row r="15" spans="1:57" x14ac:dyDescent="0.25">
      <c r="A15"/>
      <c r="D15" s="150"/>
      <c r="E15" s="150"/>
      <c r="F15" s="41"/>
      <c r="G15" s="153"/>
      <c r="H15" s="153"/>
      <c r="J15" s="154"/>
      <c r="K15" s="154"/>
      <c r="M15" s="134"/>
      <c r="N15" s="134"/>
      <c r="P15" s="134"/>
      <c r="Q15" s="134"/>
      <c r="S15" s="140"/>
      <c r="T15" s="140"/>
      <c r="V15" s="40"/>
      <c r="W15" s="40"/>
      <c r="Y15" s="41"/>
      <c r="Z15" s="41"/>
      <c r="AK15" s="130"/>
      <c r="AL15" s="130"/>
      <c r="AM15" s="40"/>
      <c r="AN15" s="40"/>
      <c r="AO15" s="40"/>
      <c r="AP15" s="40"/>
      <c r="AQ15" s="145"/>
      <c r="AR15" s="145"/>
      <c r="AS15" s="40"/>
      <c r="AT15" s="146"/>
      <c r="AU15" s="146"/>
      <c r="AV15" s="40"/>
      <c r="AW15" s="76"/>
      <c r="AX15" s="76"/>
      <c r="AY15" s="42"/>
      <c r="AZ15" s="42"/>
      <c r="BA15" s="42"/>
      <c r="BB15" s="42"/>
      <c r="BC15" s="76"/>
      <c r="BD15" s="76"/>
      <c r="BE15" s="42"/>
    </row>
    <row r="16" spans="1:57" x14ac:dyDescent="0.25">
      <c r="A16" s="167" t="s">
        <v>138</v>
      </c>
      <c r="B16" s="4"/>
      <c r="D16" s="149"/>
      <c r="E16" s="149"/>
      <c r="F16" s="41"/>
      <c r="G16" s="153"/>
      <c r="H16" s="153"/>
      <c r="J16" s="154"/>
      <c r="K16" s="154"/>
      <c r="M16" s="134"/>
      <c r="N16" s="134"/>
      <c r="P16" s="134"/>
      <c r="Q16" s="134"/>
      <c r="S16" s="140"/>
      <c r="T16" s="140"/>
      <c r="V16" s="40"/>
      <c r="W16" s="40"/>
      <c r="Y16" s="41"/>
      <c r="Z16" s="41"/>
      <c r="AK16" s="130"/>
      <c r="AL16" s="130"/>
      <c r="AM16" s="40"/>
      <c r="AN16" s="40"/>
      <c r="AO16" s="40"/>
      <c r="AP16" s="40"/>
      <c r="AQ16" s="145"/>
      <c r="AR16" s="145"/>
      <c r="AS16" s="40"/>
      <c r="AT16" s="146"/>
      <c r="AU16" s="146"/>
      <c r="AV16" s="40"/>
      <c r="AW16" s="76"/>
      <c r="AX16" s="76"/>
      <c r="AY16" s="42"/>
      <c r="AZ16" s="42"/>
      <c r="BA16" s="42"/>
      <c r="BB16" s="42"/>
      <c r="BC16" s="76"/>
      <c r="BD16" s="76"/>
      <c r="BE16" s="42"/>
    </row>
    <row r="17" spans="1:57" x14ac:dyDescent="0.25">
      <c r="A17" t="s">
        <v>133</v>
      </c>
      <c r="D17" s="162">
        <f>ROUND('AMT Silver Standard re 24Feb26'!D17+'AMT Silver Inc Cruise 24Feb26'!$B$57,2)</f>
        <v>76.709999999999994</v>
      </c>
      <c r="E17" s="162">
        <f>ROUND('AMT Silver Standard re 24Feb26'!E17+'AMT Silver Inc Cruise 24Feb26'!$B$58,2)</f>
        <v>145.35</v>
      </c>
      <c r="F17" s="81"/>
      <c r="G17" s="153">
        <f t="shared" ref="G17:H20" si="36">D17*SUM(1+$G$1/$Y$1)</f>
        <v>92.051999999999992</v>
      </c>
      <c r="H17" s="153">
        <f t="shared" si="36"/>
        <v>174.42</v>
      </c>
      <c r="I17" s="83"/>
      <c r="J17" s="155">
        <f t="shared" ref="J17:K20" si="37">G17-D17</f>
        <v>15.341999999999999</v>
      </c>
      <c r="K17" s="155">
        <f t="shared" si="37"/>
        <v>29.069999999999993</v>
      </c>
      <c r="L17" s="83"/>
      <c r="M17" s="134">
        <f>ROUND(D17*(1+$G$1*2),2)*SUM(1+$M$1)</f>
        <v>101.25500000000001</v>
      </c>
      <c r="N17" s="134">
        <f>ROUND(E17*(1+$G$1*2),2)*SUM(1+$M$1)</f>
        <v>191.86199999999999</v>
      </c>
      <c r="P17" s="134">
        <f t="shared" ref="P17:Q20" si="38">M17-D17</f>
        <v>24.545000000000016</v>
      </c>
      <c r="Q17" s="134">
        <f t="shared" si="38"/>
        <v>46.512</v>
      </c>
      <c r="S17" s="141">
        <f t="shared" ref="S17:T20" si="39">AK17/G17</f>
        <v>0.10005214444009909</v>
      </c>
      <c r="T17" s="141">
        <f t="shared" si="39"/>
        <v>9.9988533425065945E-2</v>
      </c>
      <c r="V17" s="41">
        <f t="shared" ref="V17:W20" si="40">SUM(D17/(1-$Y$1))</f>
        <v>153.41999999999999</v>
      </c>
      <c r="W17" s="41">
        <f t="shared" si="40"/>
        <v>290.7</v>
      </c>
      <c r="Y17" s="41">
        <f>ROUND(D17/(1-$Y$1)*1.2,2)</f>
        <v>184.1</v>
      </c>
      <c r="Z17" s="41">
        <f>ROUND(E17/(1-$Y$1)*1.2,2)</f>
        <v>348.84</v>
      </c>
      <c r="AB17" s="182">
        <f t="shared" ref="AB17:AC20" si="41">ROUNDDOWN(D17/(1-$Y$1)*1.2,1)</f>
        <v>184.1</v>
      </c>
      <c r="AC17" s="182">
        <f t="shared" si="41"/>
        <v>348.8</v>
      </c>
      <c r="AE17" s="40">
        <f t="shared" ref="AE17:AF20" si="42">AB17/1.2</f>
        <v>153.41666666666666</v>
      </c>
      <c r="AF17" s="40">
        <f t="shared" si="42"/>
        <v>290.66666666666669</v>
      </c>
      <c r="AH17" s="40">
        <f t="shared" ref="AH17:AI20" si="43">Y17-AB17</f>
        <v>0</v>
      </c>
      <c r="AI17" s="40">
        <f t="shared" si="43"/>
        <v>3.999999999996362E-2</v>
      </c>
      <c r="AK17" s="130">
        <f t="shared" ref="AK17:AL20" si="44">ROUND(M17*(1-(1/(1+$AL$1))),2)</f>
        <v>9.2100000000000009</v>
      </c>
      <c r="AL17" s="130">
        <f t="shared" si="44"/>
        <v>17.440000000000001</v>
      </c>
      <c r="AM17" s="40"/>
      <c r="AN17" s="40">
        <f t="shared" ref="AN17:AN20" si="45">SUM(V17-G17)-AH17</f>
        <v>61.367999999999995</v>
      </c>
      <c r="AO17" s="40">
        <f t="shared" ref="AO17:AO20" si="46">SUM(W17-H17)-AI17</f>
        <v>116.24000000000004</v>
      </c>
      <c r="AP17" s="40"/>
      <c r="AQ17" s="144">
        <f t="shared" ref="AQ17:AR20" si="47">(SUM(G17-D17)/D17*$Y$1)</f>
        <v>0.1</v>
      </c>
      <c r="AR17" s="144">
        <f t="shared" si="47"/>
        <v>9.9999999999999978E-2</v>
      </c>
      <c r="AS17" s="40"/>
      <c r="AT17" s="146">
        <f t="shared" ref="AT17:AU20" si="48">AN17/V17</f>
        <v>0.4</v>
      </c>
      <c r="AU17" s="146">
        <f t="shared" si="48"/>
        <v>0.39986240110079135</v>
      </c>
      <c r="AV17" s="40"/>
      <c r="AW17" s="76">
        <f t="shared" ref="AW17:AX20" si="49">D17/V17</f>
        <v>0.5</v>
      </c>
      <c r="AX17" s="76">
        <f t="shared" si="49"/>
        <v>0.5</v>
      </c>
      <c r="AY17" s="42"/>
      <c r="AZ17" s="42">
        <f t="shared" ref="AZ17:BA20" si="50">J17+AN17</f>
        <v>76.709999999999994</v>
      </c>
      <c r="BA17" s="42">
        <f t="shared" si="50"/>
        <v>145.31000000000003</v>
      </c>
      <c r="BB17" s="42"/>
      <c r="BC17" s="76">
        <f t="shared" ref="BC17:BD20" si="51">AZ17/(D17/$Y$1)</f>
        <v>0.5</v>
      </c>
      <c r="BD17" s="76">
        <f t="shared" si="51"/>
        <v>0.49986240110079133</v>
      </c>
      <c r="BE17" s="42"/>
    </row>
    <row r="18" spans="1:57" x14ac:dyDescent="0.25">
      <c r="A18" t="s">
        <v>134</v>
      </c>
      <c r="D18" s="162">
        <f>ROUND('AMT Silver Standard re 24Feb26'!D18+'AMT Silver Inc Cruise 24Feb26'!$B$57,2)</f>
        <v>114.17</v>
      </c>
      <c r="E18" s="162">
        <f>ROUND('AMT Silver Standard re 24Feb26'!E18+'AMT Silver Inc Cruise 24Feb26'!$B$58,2)</f>
        <v>216.22</v>
      </c>
      <c r="F18" s="81"/>
      <c r="G18" s="153">
        <f t="shared" si="36"/>
        <v>137.00399999999999</v>
      </c>
      <c r="H18" s="153">
        <f t="shared" si="36"/>
        <v>259.464</v>
      </c>
      <c r="I18" s="83"/>
      <c r="J18" s="155">
        <f t="shared" si="37"/>
        <v>22.833999999999989</v>
      </c>
      <c r="K18" s="155">
        <f t="shared" si="37"/>
        <v>43.244</v>
      </c>
      <c r="L18" s="83"/>
      <c r="M18" s="134">
        <f t="shared" ref="M18:N20" si="52">ROUND(D18*(1+$G$1*2),2)*SUM(1+$M$1)</f>
        <v>150.70000000000002</v>
      </c>
      <c r="N18" s="134">
        <f t="shared" si="52"/>
        <v>285.40600000000001</v>
      </c>
      <c r="P18" s="134">
        <f t="shared" si="38"/>
        <v>36.530000000000015</v>
      </c>
      <c r="Q18" s="134">
        <f t="shared" si="38"/>
        <v>69.186000000000007</v>
      </c>
      <c r="S18" s="141">
        <f t="shared" si="39"/>
        <v>9.9997080377215261E-2</v>
      </c>
      <c r="T18" s="141">
        <f t="shared" si="39"/>
        <v>0.10001387475719174</v>
      </c>
      <c r="V18" s="41">
        <f t="shared" si="40"/>
        <v>228.34</v>
      </c>
      <c r="W18" s="41">
        <f t="shared" si="40"/>
        <v>432.44</v>
      </c>
      <c r="Y18" s="41">
        <f t="shared" ref="Y18:Z20" si="53">ROUND(D18/(1-$Y$1)*1.2,2)</f>
        <v>274.01</v>
      </c>
      <c r="Z18" s="41">
        <f t="shared" si="53"/>
        <v>518.92999999999995</v>
      </c>
      <c r="AB18" s="182">
        <f t="shared" si="41"/>
        <v>274</v>
      </c>
      <c r="AC18" s="182">
        <f t="shared" si="41"/>
        <v>518.9</v>
      </c>
      <c r="AE18" s="40">
        <f t="shared" si="42"/>
        <v>228.33333333333334</v>
      </c>
      <c r="AF18" s="40">
        <f t="shared" si="42"/>
        <v>432.41666666666669</v>
      </c>
      <c r="AH18" s="40">
        <f t="shared" si="43"/>
        <v>9.9999999999909051E-3</v>
      </c>
      <c r="AI18" s="40">
        <f t="shared" si="43"/>
        <v>2.9999999999972715E-2</v>
      </c>
      <c r="AK18" s="130">
        <f t="shared" si="44"/>
        <v>13.7</v>
      </c>
      <c r="AL18" s="130">
        <f t="shared" si="44"/>
        <v>25.95</v>
      </c>
      <c r="AM18" s="40"/>
      <c r="AN18" s="40">
        <f t="shared" si="45"/>
        <v>91.326000000000022</v>
      </c>
      <c r="AO18" s="40">
        <f t="shared" si="46"/>
        <v>172.94600000000003</v>
      </c>
      <c r="AP18" s="40"/>
      <c r="AQ18" s="144">
        <f t="shared" si="47"/>
        <v>9.999999999999995E-2</v>
      </c>
      <c r="AR18" s="144">
        <f t="shared" si="47"/>
        <v>0.1</v>
      </c>
      <c r="AS18" s="40"/>
      <c r="AT18" s="146">
        <f t="shared" si="48"/>
        <v>0.39995620565822904</v>
      </c>
      <c r="AU18" s="146">
        <f t="shared" si="48"/>
        <v>0.3999306262140413</v>
      </c>
      <c r="AV18" s="40"/>
      <c r="AW18" s="76">
        <f t="shared" si="49"/>
        <v>0.5</v>
      </c>
      <c r="AX18" s="76">
        <f t="shared" si="49"/>
        <v>0.5</v>
      </c>
      <c r="AY18" s="42"/>
      <c r="AZ18" s="42">
        <f t="shared" si="50"/>
        <v>114.16000000000001</v>
      </c>
      <c r="BA18" s="42">
        <f t="shared" si="50"/>
        <v>216.19000000000003</v>
      </c>
      <c r="BB18" s="42"/>
      <c r="BC18" s="76">
        <f t="shared" si="51"/>
        <v>0.49995620565822901</v>
      </c>
      <c r="BD18" s="76">
        <f t="shared" si="51"/>
        <v>0.49993062621404133</v>
      </c>
      <c r="BE18" s="42"/>
    </row>
    <row r="19" spans="1:57" x14ac:dyDescent="0.25">
      <c r="A19" t="s">
        <v>135</v>
      </c>
      <c r="D19" s="162">
        <f>ROUND('AMT Silver Standard re 24Feb26'!D19+'AMT Silver Inc Cruise 24Feb26'!$B$57,2)</f>
        <v>121.86</v>
      </c>
      <c r="E19" s="162">
        <f>ROUND('AMT Silver Standard re 24Feb26'!E19+'AMT Silver Inc Cruise 24Feb26'!$B$58,2)</f>
        <v>235.03</v>
      </c>
      <c r="F19" s="81"/>
      <c r="G19" s="153">
        <f t="shared" si="36"/>
        <v>146.232</v>
      </c>
      <c r="H19" s="153">
        <f t="shared" si="36"/>
        <v>282.036</v>
      </c>
      <c r="J19" s="155">
        <f t="shared" si="37"/>
        <v>24.372</v>
      </c>
      <c r="K19" s="155">
        <f t="shared" si="37"/>
        <v>47.006</v>
      </c>
      <c r="M19" s="134">
        <f t="shared" si="52"/>
        <v>160.85300000000001</v>
      </c>
      <c r="N19" s="134">
        <f t="shared" si="52"/>
        <v>310.24400000000003</v>
      </c>
      <c r="P19" s="134">
        <f t="shared" si="38"/>
        <v>38.993000000000009</v>
      </c>
      <c r="Q19" s="134">
        <f t="shared" si="38"/>
        <v>75.214000000000027</v>
      </c>
      <c r="S19" s="141">
        <f t="shared" si="39"/>
        <v>9.9978116964823019E-2</v>
      </c>
      <c r="T19" s="141">
        <f t="shared" si="39"/>
        <v>9.998723567204186E-2</v>
      </c>
      <c r="V19" s="41">
        <f t="shared" si="40"/>
        <v>243.72</v>
      </c>
      <c r="W19" s="41">
        <f t="shared" si="40"/>
        <v>470.06</v>
      </c>
      <c r="Y19" s="41">
        <f t="shared" si="53"/>
        <v>292.45999999999998</v>
      </c>
      <c r="Z19" s="41">
        <f t="shared" si="53"/>
        <v>564.07000000000005</v>
      </c>
      <c r="AB19" s="182">
        <f t="shared" si="41"/>
        <v>292.39999999999998</v>
      </c>
      <c r="AC19" s="182">
        <f t="shared" si="41"/>
        <v>564</v>
      </c>
      <c r="AE19" s="40">
        <f t="shared" si="42"/>
        <v>243.66666666666666</v>
      </c>
      <c r="AF19" s="40">
        <f t="shared" si="42"/>
        <v>470</v>
      </c>
      <c r="AH19" s="40">
        <f t="shared" si="43"/>
        <v>6.0000000000002274E-2</v>
      </c>
      <c r="AI19" s="40">
        <f t="shared" si="43"/>
        <v>7.0000000000050022E-2</v>
      </c>
      <c r="AK19" s="130">
        <f t="shared" si="44"/>
        <v>14.62</v>
      </c>
      <c r="AL19" s="130">
        <f t="shared" si="44"/>
        <v>28.2</v>
      </c>
      <c r="AM19" s="40"/>
      <c r="AN19" s="40">
        <f t="shared" si="45"/>
        <v>97.427999999999997</v>
      </c>
      <c r="AO19" s="40">
        <f t="shared" si="46"/>
        <v>187.95399999999995</v>
      </c>
      <c r="AP19" s="40"/>
      <c r="AQ19" s="144">
        <f t="shared" si="47"/>
        <v>0.1</v>
      </c>
      <c r="AR19" s="144">
        <f t="shared" si="47"/>
        <v>0.1</v>
      </c>
      <c r="AS19" s="40"/>
      <c r="AT19" s="146">
        <f t="shared" si="48"/>
        <v>0.39975381585425895</v>
      </c>
      <c r="AU19" s="146">
        <f t="shared" si="48"/>
        <v>0.39985108284048831</v>
      </c>
      <c r="AV19" s="40"/>
      <c r="AW19" s="76">
        <f t="shared" si="49"/>
        <v>0.5</v>
      </c>
      <c r="AX19" s="76">
        <f t="shared" si="49"/>
        <v>0.5</v>
      </c>
      <c r="AY19" s="42"/>
      <c r="AZ19" s="42">
        <f t="shared" si="50"/>
        <v>121.8</v>
      </c>
      <c r="BA19" s="42">
        <f t="shared" si="50"/>
        <v>234.95999999999995</v>
      </c>
      <c r="BB19" s="42"/>
      <c r="BC19" s="76">
        <f t="shared" si="51"/>
        <v>0.49975381585425899</v>
      </c>
      <c r="BD19" s="76">
        <f t="shared" si="51"/>
        <v>0.49985108284048835</v>
      </c>
      <c r="BE19" s="42"/>
    </row>
    <row r="20" spans="1:57" x14ac:dyDescent="0.25">
      <c r="A20" t="s">
        <v>136</v>
      </c>
      <c r="D20" s="162">
        <f>ROUND('AMT Silver Standard re 24Feb26'!D20+'AMT Silver Inc Cruise 24Feb26'!$B$57,2)</f>
        <v>132.13999999999999</v>
      </c>
      <c r="E20" s="162">
        <f>ROUND('AMT Silver Standard re 24Feb26'!E20+'AMT Silver Inc Cruise 24Feb26'!$B$58,2)</f>
        <v>251.76</v>
      </c>
      <c r="F20" s="81"/>
      <c r="G20" s="153">
        <f t="shared" si="36"/>
        <v>158.56799999999998</v>
      </c>
      <c r="H20" s="153">
        <f t="shared" si="36"/>
        <v>302.11199999999997</v>
      </c>
      <c r="J20" s="155">
        <f t="shared" si="37"/>
        <v>26.427999999999997</v>
      </c>
      <c r="K20" s="155">
        <f t="shared" si="37"/>
        <v>50.351999999999975</v>
      </c>
      <c r="M20" s="134">
        <f t="shared" si="52"/>
        <v>174.42699999999999</v>
      </c>
      <c r="N20" s="134">
        <f t="shared" si="52"/>
        <v>332.32100000000003</v>
      </c>
      <c r="P20" s="134">
        <f t="shared" si="38"/>
        <v>42.287000000000006</v>
      </c>
      <c r="Q20" s="134">
        <f t="shared" si="38"/>
        <v>80.561000000000035</v>
      </c>
      <c r="S20" s="141">
        <f t="shared" si="39"/>
        <v>0.10002018061651784</v>
      </c>
      <c r="T20" s="141">
        <f t="shared" si="39"/>
        <v>9.9996027963139514E-2</v>
      </c>
      <c r="V20" s="41">
        <f t="shared" si="40"/>
        <v>264.27999999999997</v>
      </c>
      <c r="W20" s="41">
        <f t="shared" si="40"/>
        <v>503.52</v>
      </c>
      <c r="Y20" s="41">
        <f t="shared" si="53"/>
        <v>317.14</v>
      </c>
      <c r="Z20" s="41">
        <f t="shared" si="53"/>
        <v>604.22</v>
      </c>
      <c r="AB20" s="182">
        <f t="shared" si="41"/>
        <v>317.10000000000002</v>
      </c>
      <c r="AC20" s="182">
        <f t="shared" si="41"/>
        <v>604.20000000000005</v>
      </c>
      <c r="AE20" s="40">
        <f t="shared" si="42"/>
        <v>264.25000000000006</v>
      </c>
      <c r="AF20" s="40">
        <f t="shared" si="42"/>
        <v>503.50000000000006</v>
      </c>
      <c r="AH20" s="40">
        <f t="shared" si="43"/>
        <v>3.999999999996362E-2</v>
      </c>
      <c r="AI20" s="40">
        <f t="shared" si="43"/>
        <v>1.999999999998181E-2</v>
      </c>
      <c r="AK20" s="130">
        <f t="shared" si="44"/>
        <v>15.86</v>
      </c>
      <c r="AL20" s="130">
        <f t="shared" si="44"/>
        <v>30.21</v>
      </c>
      <c r="AM20" s="40"/>
      <c r="AN20" s="40">
        <f t="shared" si="45"/>
        <v>105.67200000000003</v>
      </c>
      <c r="AO20" s="40">
        <f t="shared" si="46"/>
        <v>201.38800000000003</v>
      </c>
      <c r="AP20" s="40"/>
      <c r="AQ20" s="144">
        <f t="shared" si="47"/>
        <v>0.1</v>
      </c>
      <c r="AR20" s="144">
        <f t="shared" si="47"/>
        <v>9.999999999999995E-2</v>
      </c>
      <c r="AS20" s="40"/>
      <c r="AT20" s="146">
        <f t="shared" si="48"/>
        <v>0.39984864537611636</v>
      </c>
      <c r="AU20" s="146">
        <f t="shared" si="48"/>
        <v>0.39996027963139508</v>
      </c>
      <c r="AV20" s="40"/>
      <c r="AW20" s="76">
        <f t="shared" si="49"/>
        <v>0.5</v>
      </c>
      <c r="AX20" s="76">
        <f t="shared" si="49"/>
        <v>0.5</v>
      </c>
      <c r="AY20" s="42"/>
      <c r="AZ20" s="42">
        <f t="shared" si="50"/>
        <v>132.10000000000002</v>
      </c>
      <c r="BA20" s="42">
        <f t="shared" si="50"/>
        <v>251.74</v>
      </c>
      <c r="BB20" s="42"/>
      <c r="BC20" s="76">
        <f t="shared" si="51"/>
        <v>0.4998486453761164</v>
      </c>
      <c r="BD20" s="76">
        <f t="shared" si="51"/>
        <v>0.499960279631395</v>
      </c>
      <c r="BE20" s="42"/>
    </row>
    <row r="21" spans="1:57" x14ac:dyDescent="0.25">
      <c r="C21" s="104"/>
      <c r="D21" s="104"/>
      <c r="H21" s="40"/>
      <c r="I21" s="75"/>
      <c r="J21" s="75"/>
      <c r="K21" s="75"/>
      <c r="L21" s="75"/>
      <c r="V21" s="40"/>
      <c r="X21" s="41"/>
      <c r="Y21" s="40"/>
      <c r="Z21" s="40"/>
      <c r="AK21" s="76"/>
      <c r="AL21" s="76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76"/>
      <c r="AX21" s="76"/>
      <c r="AY21" s="42"/>
      <c r="AZ21" s="42"/>
      <c r="BA21" s="42"/>
      <c r="BB21" s="42"/>
      <c r="BC21" s="76"/>
      <c r="BD21" s="76"/>
      <c r="BE21" s="40"/>
    </row>
    <row r="22" spans="1:57" x14ac:dyDescent="0.25">
      <c r="A22" s="4" t="s">
        <v>139</v>
      </c>
      <c r="X22" s="41"/>
      <c r="Y22" s="40"/>
      <c r="Z22" s="40"/>
      <c r="AK22" s="76"/>
      <c r="AL22" s="76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76"/>
      <c r="AX22" s="76"/>
      <c r="AY22" s="42"/>
      <c r="AZ22" s="42"/>
      <c r="BA22" s="42"/>
      <c r="BB22" s="42"/>
      <c r="BC22" s="76"/>
      <c r="BD22" s="76"/>
      <c r="BE22" s="40"/>
    </row>
    <row r="23" spans="1:57" x14ac:dyDescent="0.25">
      <c r="A23" s="53"/>
      <c r="X23" s="41"/>
      <c r="Y23" s="40"/>
      <c r="Z23" s="40"/>
      <c r="AK23" s="76"/>
      <c r="AL23" s="76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76"/>
      <c r="AX23" s="76"/>
      <c r="AY23" s="42"/>
      <c r="AZ23" s="42"/>
      <c r="BA23" s="42"/>
      <c r="BB23" s="42"/>
      <c r="BC23" s="76"/>
      <c r="BD23" s="76"/>
      <c r="BE23" s="40"/>
    </row>
    <row r="24" spans="1:57" x14ac:dyDescent="0.25">
      <c r="A24" s="100" t="s">
        <v>132</v>
      </c>
      <c r="B24" s="52" t="s">
        <v>140</v>
      </c>
      <c r="D24" s="55" t="s">
        <v>141</v>
      </c>
      <c r="E24" s="55"/>
      <c r="F24" s="55"/>
    </row>
    <row r="25" spans="1:57" x14ac:dyDescent="0.25">
      <c r="A25" s="100" t="s">
        <v>137</v>
      </c>
      <c r="B25" s="52" t="s">
        <v>140</v>
      </c>
      <c r="F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</row>
    <row r="26" spans="1:57" x14ac:dyDescent="0.25">
      <c r="A26" s="100" t="s">
        <v>142</v>
      </c>
      <c r="B26" s="52" t="s">
        <v>140</v>
      </c>
      <c r="F26" s="40"/>
      <c r="G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</row>
    <row r="27" spans="1:57" x14ac:dyDescent="0.25">
      <c r="F27" s="40"/>
      <c r="G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</row>
    <row r="28" spans="1:57" x14ac:dyDescent="0.25">
      <c r="A28" s="99" t="s">
        <v>143</v>
      </c>
      <c r="B28" s="52" t="s">
        <v>144</v>
      </c>
      <c r="F28" s="40"/>
      <c r="G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</row>
    <row r="29" spans="1:57" x14ac:dyDescent="0.25">
      <c r="G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</row>
    <row r="30" spans="1:57" ht="45" customHeight="1" x14ac:dyDescent="0.25">
      <c r="A30" s="159" t="s">
        <v>145</v>
      </c>
      <c r="B30" s="246" t="s">
        <v>146</v>
      </c>
      <c r="C30" s="246"/>
      <c r="D30" s="246"/>
      <c r="E30" s="246"/>
      <c r="F30" s="99"/>
      <c r="AA30" s="40"/>
      <c r="AB30" s="40"/>
      <c r="AC30" s="40"/>
      <c r="AD30" s="40"/>
      <c r="AE30" s="40"/>
      <c r="AF30" s="40"/>
      <c r="AG30" s="40"/>
      <c r="AH30" s="40"/>
      <c r="AI30" s="40"/>
      <c r="AJ30" s="40"/>
    </row>
    <row r="31" spans="1:57" ht="45" customHeight="1" x14ac:dyDescent="0.25">
      <c r="A31" s="159" t="s">
        <v>147</v>
      </c>
      <c r="B31" s="246" t="s">
        <v>148</v>
      </c>
      <c r="C31" s="246"/>
      <c r="D31" s="246"/>
      <c r="E31" s="246"/>
      <c r="F31" s="246"/>
      <c r="AA31" s="40"/>
      <c r="AB31" s="40"/>
      <c r="AC31" s="40"/>
      <c r="AD31" s="40"/>
      <c r="AE31" s="40"/>
      <c r="AF31" s="40"/>
      <c r="AG31" s="40"/>
      <c r="AH31" s="40"/>
      <c r="AI31" s="40"/>
      <c r="AJ31" s="40"/>
    </row>
    <row r="32" spans="1:57" x14ac:dyDescent="0.25"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</row>
    <row r="33" spans="1:57" x14ac:dyDescent="0.25">
      <c r="A33" s="100" t="s">
        <v>149</v>
      </c>
      <c r="B33" s="101" t="s">
        <v>150</v>
      </c>
      <c r="C33" s="52"/>
      <c r="AA33" s="40"/>
      <c r="AB33" s="40"/>
      <c r="AC33" s="40"/>
      <c r="AD33" s="40"/>
      <c r="AE33" s="40"/>
      <c r="AF33" s="40"/>
      <c r="AG33" s="40"/>
      <c r="AH33" s="40"/>
      <c r="AI33" s="40"/>
      <c r="AJ33" s="40"/>
    </row>
    <row r="34" spans="1:57" x14ac:dyDescent="0.25">
      <c r="A34" s="100" t="s">
        <v>151</v>
      </c>
      <c r="B34" s="101" t="s">
        <v>152</v>
      </c>
      <c r="C34" s="52"/>
    </row>
    <row r="35" spans="1:57" x14ac:dyDescent="0.25">
      <c r="A35" s="100" t="s">
        <v>153</v>
      </c>
      <c r="B35" s="101" t="s">
        <v>154</v>
      </c>
      <c r="C35" s="52"/>
    </row>
    <row r="36" spans="1:57" s="96" customFormat="1" ht="45" customHeight="1" x14ac:dyDescent="0.25">
      <c r="D36" s="244" t="s">
        <v>128</v>
      </c>
      <c r="E36" s="244"/>
      <c r="F36" s="95"/>
      <c r="G36" s="245" t="s">
        <v>3</v>
      </c>
      <c r="H36" s="245"/>
      <c r="I36" s="18"/>
      <c r="J36" s="245" t="s">
        <v>4</v>
      </c>
      <c r="K36" s="245"/>
      <c r="L36" s="18"/>
      <c r="M36" s="219" t="s">
        <v>5</v>
      </c>
      <c r="N36" s="219"/>
      <c r="O36" s="18"/>
      <c r="P36" s="219" t="s">
        <v>6</v>
      </c>
      <c r="Q36" s="219"/>
      <c r="R36" s="18"/>
      <c r="S36" s="219" t="s">
        <v>7</v>
      </c>
      <c r="T36" s="219"/>
      <c r="U36" s="18"/>
      <c r="V36" s="214" t="s">
        <v>8</v>
      </c>
      <c r="W36" s="214"/>
      <c r="X36" s="52"/>
      <c r="Y36" s="211" t="s">
        <v>9</v>
      </c>
      <c r="Z36" s="211"/>
      <c r="AA36" s="1"/>
      <c r="AB36" s="215" t="s">
        <v>10</v>
      </c>
      <c r="AC36" s="215"/>
      <c r="AD36" s="1"/>
      <c r="AE36" s="211" t="s">
        <v>11</v>
      </c>
      <c r="AF36" s="211"/>
      <c r="AG36" s="1"/>
      <c r="AH36" s="211" t="s">
        <v>12</v>
      </c>
      <c r="AI36" s="211"/>
      <c r="AJ36" s="1"/>
      <c r="AK36" s="211" t="s">
        <v>13</v>
      </c>
      <c r="AL36" s="211"/>
      <c r="AM36" s="1"/>
      <c r="AN36" s="211" t="s">
        <v>14</v>
      </c>
      <c r="AO36" s="211"/>
      <c r="AP36" s="1"/>
      <c r="AQ36" s="212" t="s">
        <v>15</v>
      </c>
      <c r="AR36" s="212"/>
      <c r="AS36" s="1"/>
      <c r="AT36" s="211" t="s">
        <v>16</v>
      </c>
      <c r="AU36" s="211"/>
      <c r="AV36" s="1"/>
      <c r="AW36" s="213" t="s">
        <v>17</v>
      </c>
      <c r="AX36" s="213"/>
      <c r="AY36" s="1"/>
      <c r="AZ36" s="213" t="s">
        <v>18</v>
      </c>
      <c r="BA36" s="213"/>
      <c r="BB36" s="1"/>
      <c r="BC36" s="213" t="s">
        <v>129</v>
      </c>
      <c r="BD36" s="213"/>
      <c r="BE36" s="1"/>
    </row>
    <row r="37" spans="1:57" s="96" customFormat="1" ht="108.6" customHeight="1" x14ac:dyDescent="0.25">
      <c r="D37" s="195" t="s">
        <v>130</v>
      </c>
      <c r="E37" s="147" t="s">
        <v>131</v>
      </c>
      <c r="F37" s="35"/>
      <c r="G37" s="151" t="s">
        <v>130</v>
      </c>
      <c r="H37" s="152" t="s">
        <v>131</v>
      </c>
      <c r="I37" s="52"/>
      <c r="J37" s="151" t="s">
        <v>130</v>
      </c>
      <c r="K37" s="152" t="s">
        <v>131</v>
      </c>
      <c r="L37" s="52"/>
      <c r="M37" s="132" t="s">
        <v>130</v>
      </c>
      <c r="N37" s="133" t="s">
        <v>131</v>
      </c>
      <c r="O37" s="52"/>
      <c r="P37" s="132" t="s">
        <v>130</v>
      </c>
      <c r="Q37" s="133" t="s">
        <v>131</v>
      </c>
      <c r="R37" s="52"/>
      <c r="S37" s="132" t="s">
        <v>130</v>
      </c>
      <c r="T37" s="133" t="s">
        <v>131</v>
      </c>
      <c r="U37" s="52"/>
      <c r="V37" s="96" t="s">
        <v>130</v>
      </c>
      <c r="W37" s="95" t="s">
        <v>131</v>
      </c>
      <c r="X37" s="52"/>
      <c r="Y37" s="96" t="s">
        <v>130</v>
      </c>
      <c r="Z37" s="95" t="s">
        <v>131</v>
      </c>
      <c r="AA37" s="52"/>
      <c r="AB37" s="96" t="s">
        <v>130</v>
      </c>
      <c r="AC37" s="95" t="s">
        <v>131</v>
      </c>
      <c r="AD37" s="52"/>
      <c r="AE37" s="96" t="s">
        <v>130</v>
      </c>
      <c r="AF37" s="95" t="s">
        <v>131</v>
      </c>
      <c r="AG37" s="34"/>
      <c r="AH37" s="96" t="s">
        <v>130</v>
      </c>
      <c r="AI37" s="95" t="s">
        <v>131</v>
      </c>
      <c r="AJ37" s="52"/>
      <c r="AK37" s="128" t="s">
        <v>130</v>
      </c>
      <c r="AL37" s="129" t="s">
        <v>131</v>
      </c>
      <c r="AM37" s="52"/>
      <c r="AN37" s="96" t="s">
        <v>130</v>
      </c>
      <c r="AO37" s="95" t="s">
        <v>131</v>
      </c>
      <c r="AP37" s="52"/>
      <c r="AQ37" s="196" t="s">
        <v>130</v>
      </c>
      <c r="AR37" s="142" t="s">
        <v>131</v>
      </c>
      <c r="AS37" s="52"/>
      <c r="AT37" s="197" t="s">
        <v>130</v>
      </c>
      <c r="AU37" s="129" t="s">
        <v>131</v>
      </c>
      <c r="AV37" s="52"/>
      <c r="AW37" s="96" t="s">
        <v>130</v>
      </c>
      <c r="AX37" s="95" t="s">
        <v>131</v>
      </c>
      <c r="AY37" s="52"/>
      <c r="AZ37" s="96" t="s">
        <v>130</v>
      </c>
      <c r="BA37" s="95" t="s">
        <v>131</v>
      </c>
      <c r="BB37" s="52"/>
      <c r="BC37" s="139" t="s">
        <v>130</v>
      </c>
      <c r="BD37" s="95" t="s">
        <v>131</v>
      </c>
      <c r="BE37" s="1"/>
    </row>
    <row r="38" spans="1:57" ht="47.45" customHeight="1" x14ac:dyDescent="0.25">
      <c r="B38" s="45"/>
      <c r="D38" s="149"/>
      <c r="E38" s="149"/>
      <c r="F38" s="81"/>
      <c r="G38" s="153"/>
      <c r="H38" s="153"/>
      <c r="J38" s="155"/>
      <c r="K38" s="155"/>
      <c r="L38" s="41"/>
      <c r="M38" s="161"/>
      <c r="N38" s="161"/>
      <c r="P38" s="134"/>
      <c r="Q38" s="134"/>
      <c r="S38" s="141"/>
      <c r="T38" s="141"/>
      <c r="V38" s="41"/>
      <c r="W38" s="41"/>
      <c r="Y38" s="41"/>
      <c r="Z38" s="41"/>
      <c r="AB38" s="182"/>
      <c r="AC38" s="182"/>
      <c r="AE38" s="40"/>
      <c r="AF38" s="40"/>
      <c r="AH38" s="40"/>
      <c r="AI38" s="40"/>
      <c r="AK38" s="130"/>
      <c r="AL38" s="130"/>
      <c r="AM38" s="40"/>
      <c r="AN38" s="40"/>
      <c r="AO38" s="40"/>
      <c r="AP38" s="40"/>
      <c r="AQ38" s="144"/>
      <c r="AR38" s="144"/>
      <c r="AS38" s="40"/>
      <c r="AT38" s="146"/>
      <c r="AU38" s="146"/>
      <c r="AV38" s="40"/>
      <c r="AW38" s="76"/>
      <c r="AX38" s="76"/>
      <c r="AY38" s="42"/>
      <c r="AZ38" s="42"/>
      <c r="BA38" s="42"/>
      <c r="BB38" s="42"/>
      <c r="BC38" s="76"/>
      <c r="BD38" s="76"/>
      <c r="BE38" s="42"/>
    </row>
    <row r="39" spans="1:57" ht="39.950000000000003" customHeight="1" x14ac:dyDescent="0.25">
      <c r="A39" s="247" t="s">
        <v>63</v>
      </c>
      <c r="B39" s="247"/>
      <c r="C39" s="247"/>
      <c r="D39" s="162">
        <v>15</v>
      </c>
      <c r="E39" s="162">
        <v>15</v>
      </c>
      <c r="F39" s="81"/>
      <c r="G39" s="153">
        <f>D39*SUM(1+$G$1/$Y$1)</f>
        <v>18</v>
      </c>
      <c r="H39" s="153">
        <f>E39*SUM(1+$G$1/$Y$1)</f>
        <v>18</v>
      </c>
      <c r="J39" s="155">
        <f t="shared" ref="J39:K39" si="54">G39-D39</f>
        <v>3</v>
      </c>
      <c r="K39" s="155">
        <f t="shared" si="54"/>
        <v>3</v>
      </c>
      <c r="L39" s="41"/>
      <c r="M39" s="161">
        <f t="shared" ref="M39:N39" si="55">ROUND(D39*(1+$G$1*2),2)*SUM(1+$M$1)</f>
        <v>19.8</v>
      </c>
      <c r="N39" s="161">
        <f t="shared" si="55"/>
        <v>19.8</v>
      </c>
      <c r="P39" s="134">
        <f t="shared" ref="P39:Q39" si="56">M39-D39</f>
        <v>4.8000000000000007</v>
      </c>
      <c r="Q39" s="134">
        <f t="shared" si="56"/>
        <v>4.8000000000000007</v>
      </c>
      <c r="S39" s="141">
        <f>AK39/G39</f>
        <v>0.1</v>
      </c>
      <c r="T39" s="141">
        <f>AL39/H39</f>
        <v>0.1</v>
      </c>
      <c r="V39" s="41">
        <f>SUM(D39/(1-$Y$1))</f>
        <v>30</v>
      </c>
      <c r="W39" s="41">
        <f>SUM(E39/(1-$Y$1))</f>
        <v>30</v>
      </c>
      <c r="Y39" s="41">
        <f t="shared" ref="Y39:Z39" si="57">ROUND(D39/(1-$Y$1)*1.2,2)</f>
        <v>36</v>
      </c>
      <c r="Z39" s="41">
        <f t="shared" si="57"/>
        <v>36</v>
      </c>
      <c r="AB39" s="182">
        <f t="shared" ref="AB39:AC39" si="58">ROUNDDOWN(D39/(1-$Y$1)*1.2,1)</f>
        <v>36</v>
      </c>
      <c r="AC39" s="182">
        <f t="shared" si="58"/>
        <v>36</v>
      </c>
      <c r="AE39" s="40">
        <f t="shared" ref="AE39:AF39" si="59">AB39/1.2</f>
        <v>30</v>
      </c>
      <c r="AF39" s="40">
        <f t="shared" si="59"/>
        <v>30</v>
      </c>
      <c r="AH39" s="40">
        <f t="shared" ref="AH39:AI39" si="60">Y39-AB39</f>
        <v>0</v>
      </c>
      <c r="AI39" s="40">
        <f t="shared" si="60"/>
        <v>0</v>
      </c>
      <c r="AK39" s="130">
        <f t="shared" ref="AK39" si="61">ROUND(M39*(1-(1/(1+$AL$1))),2)</f>
        <v>1.8</v>
      </c>
      <c r="AL39" s="130">
        <f>ROUND(N39*(1-(1/(1+$AL$1))),2)</f>
        <v>1.8</v>
      </c>
      <c r="AM39" s="40"/>
      <c r="AN39" s="40">
        <f t="shared" ref="AN39" si="62">SUM(V39-G39)-AH39</f>
        <v>12</v>
      </c>
      <c r="AO39" s="40">
        <f t="shared" ref="AO39" si="63">SUM(W39-H39)-AI39</f>
        <v>12</v>
      </c>
      <c r="AP39" s="40"/>
      <c r="AQ39" s="144">
        <f>(SUM(G39-D39)/D39*$Y$1)</f>
        <v>0.1</v>
      </c>
      <c r="AR39" s="144">
        <f>(SUM(H39-E39)/E39*$Y$1)</f>
        <v>0.1</v>
      </c>
      <c r="AS39" s="40"/>
      <c r="AT39" s="146">
        <f>AN39/V39</f>
        <v>0.4</v>
      </c>
      <c r="AU39" s="146">
        <f>AO39/W39</f>
        <v>0.4</v>
      </c>
      <c r="AV39" s="40"/>
      <c r="AW39" s="76">
        <f>D39/V39</f>
        <v>0.5</v>
      </c>
      <c r="AX39" s="76">
        <f>E39/W39</f>
        <v>0.5</v>
      </c>
      <c r="AY39" s="42"/>
      <c r="AZ39" s="42">
        <f>J39+AN39</f>
        <v>15</v>
      </c>
      <c r="BA39" s="42">
        <f>K39+AO39</f>
        <v>15</v>
      </c>
      <c r="BB39" s="42"/>
      <c r="BC39" s="76">
        <f>AZ39/(D39/$Y$1)</f>
        <v>0.5</v>
      </c>
      <c r="BD39" s="76">
        <f>BA39/(E39/$Y$1)</f>
        <v>0.5</v>
      </c>
      <c r="BE39" s="42"/>
    </row>
    <row r="40" spans="1:57" x14ac:dyDescent="0.25">
      <c r="A40" s="52"/>
      <c r="B40" s="52"/>
      <c r="C40" s="98"/>
      <c r="D40" s="52"/>
      <c r="E40" s="52"/>
      <c r="F40" s="40"/>
    </row>
    <row r="41" spans="1:57" x14ac:dyDescent="0.25">
      <c r="A41" s="45" t="s">
        <v>64</v>
      </c>
      <c r="B41" s="45" t="s">
        <v>65</v>
      </c>
      <c r="C41" s="45" t="s">
        <v>66</v>
      </c>
    </row>
    <row r="42" spans="1:57" s="122" customFormat="1" ht="30" customHeight="1" x14ac:dyDescent="0.25">
      <c r="A42" s="120"/>
      <c r="B42" s="121" t="s">
        <v>67</v>
      </c>
      <c r="C42" s="248" t="s">
        <v>68</v>
      </c>
      <c r="D42" s="248"/>
      <c r="E42" s="248"/>
      <c r="F42" s="248"/>
      <c r="G42" s="248"/>
      <c r="H42" s="248"/>
      <c r="I42" s="248"/>
      <c r="J42" s="248"/>
      <c r="K42" s="248"/>
      <c r="L42" s="248"/>
      <c r="M42" s="248"/>
    </row>
    <row r="43" spans="1:57" s="122" customFormat="1" ht="30" customHeight="1" x14ac:dyDescent="0.25">
      <c r="A43" s="120"/>
      <c r="B43" s="121"/>
      <c r="C43" s="248"/>
      <c r="D43" s="248"/>
      <c r="E43" s="248"/>
      <c r="F43" s="248"/>
      <c r="G43" s="248"/>
      <c r="H43" s="248"/>
      <c r="I43" s="248"/>
      <c r="J43" s="248"/>
      <c r="K43" s="248"/>
      <c r="L43" s="248"/>
      <c r="M43" s="248"/>
    </row>
    <row r="44" spans="1:57" x14ac:dyDescent="0.25">
      <c r="B44" s="45" t="s">
        <v>69</v>
      </c>
      <c r="C44" s="45" t="s">
        <v>70</v>
      </c>
      <c r="G44" s="40"/>
    </row>
    <row r="45" spans="1:57" x14ac:dyDescent="0.25">
      <c r="B45" s="45" t="s">
        <v>71</v>
      </c>
      <c r="C45" s="45" t="s">
        <v>72</v>
      </c>
      <c r="G45" s="40"/>
    </row>
    <row r="46" spans="1:57" x14ac:dyDescent="0.25">
      <c r="A46" s="52"/>
      <c r="B46" s="52"/>
      <c r="C46" s="98"/>
      <c r="D46" s="52"/>
      <c r="E46" s="52"/>
      <c r="F46" s="40"/>
    </row>
    <row r="47" spans="1:57" x14ac:dyDescent="0.25">
      <c r="A47" s="46" t="s">
        <v>73</v>
      </c>
      <c r="B47" s="1" t="s">
        <v>74</v>
      </c>
      <c r="C47" s="46" t="s">
        <v>75</v>
      </c>
      <c r="D47" s="25"/>
      <c r="F47" s="47"/>
    </row>
    <row r="48" spans="1:57" x14ac:dyDescent="0.25">
      <c r="A48" s="25"/>
      <c r="B48" s="1" t="s">
        <v>76</v>
      </c>
      <c r="C48" s="47" t="s">
        <v>77</v>
      </c>
      <c r="D48" s="25"/>
      <c r="F48" s="47"/>
    </row>
    <row r="49" spans="1:12" x14ac:dyDescent="0.25">
      <c r="A49" s="25"/>
      <c r="B49" s="1" t="s">
        <v>78</v>
      </c>
      <c r="C49" s="47" t="s">
        <v>79</v>
      </c>
      <c r="D49" s="25"/>
      <c r="F49" s="47"/>
    </row>
    <row r="50" spans="1:12" x14ac:dyDescent="0.25">
      <c r="A50" s="25"/>
      <c r="B50" s="1" t="s">
        <v>80</v>
      </c>
      <c r="C50" s="47" t="s">
        <v>81</v>
      </c>
      <c r="D50" s="25"/>
      <c r="F50" s="47"/>
    </row>
    <row r="51" spans="1:12" x14ac:dyDescent="0.25">
      <c r="F51" s="52"/>
      <c r="G51" s="52"/>
      <c r="H51" s="52"/>
      <c r="I51" s="52"/>
      <c r="J51" s="52"/>
      <c r="K51" s="52"/>
      <c r="L51" s="52"/>
    </row>
    <row r="52" spans="1:12" x14ac:dyDescent="0.25">
      <c r="A52" s="1" t="s">
        <v>82</v>
      </c>
      <c r="C52" s="1" t="s">
        <v>83</v>
      </c>
      <c r="F52" s="99"/>
      <c r="G52" s="99"/>
      <c r="H52" s="99"/>
      <c r="I52" s="99"/>
      <c r="J52" s="99"/>
      <c r="K52" s="99"/>
      <c r="L52" s="99"/>
    </row>
    <row r="53" spans="1:12" x14ac:dyDescent="0.25">
      <c r="A53" s="99"/>
      <c r="F53" s="99"/>
      <c r="G53" s="99"/>
      <c r="H53" s="99"/>
      <c r="I53" s="99"/>
      <c r="J53" s="99"/>
      <c r="K53" s="99"/>
      <c r="L53" s="99"/>
    </row>
    <row r="54" spans="1:12" x14ac:dyDescent="0.25">
      <c r="A54" s="52" t="s">
        <v>84</v>
      </c>
      <c r="B54" s="52"/>
      <c r="C54" s="52"/>
      <c r="D54" s="52"/>
      <c r="E54" s="52"/>
      <c r="F54" s="99"/>
      <c r="G54" s="99"/>
      <c r="H54" s="99"/>
      <c r="I54" s="99"/>
      <c r="J54" s="99"/>
      <c r="K54" s="99"/>
      <c r="L54" s="99"/>
    </row>
    <row r="57" spans="1:12" x14ac:dyDescent="0.25">
      <c r="A57" s="166" t="s">
        <v>85</v>
      </c>
      <c r="B57" s="191">
        <v>1.8</v>
      </c>
      <c r="C57" s="192" t="s">
        <v>156</v>
      </c>
    </row>
    <row r="58" spans="1:12" x14ac:dyDescent="0.25">
      <c r="A58" s="166"/>
      <c r="B58" s="191">
        <v>3.6</v>
      </c>
      <c r="C58" s="192" t="s">
        <v>157</v>
      </c>
    </row>
  </sheetData>
  <mergeCells count="40">
    <mergeCell ref="D2:E2"/>
    <mergeCell ref="G2:H2"/>
    <mergeCell ref="J2:K2"/>
    <mergeCell ref="M2:N2"/>
    <mergeCell ref="P2:Q2"/>
    <mergeCell ref="AZ2:BA2"/>
    <mergeCell ref="BC2:BD2"/>
    <mergeCell ref="V2:W2"/>
    <mergeCell ref="Y2:Z2"/>
    <mergeCell ref="AB2:AC2"/>
    <mergeCell ref="AE2:AF2"/>
    <mergeCell ref="AH2:AI2"/>
    <mergeCell ref="AK2:AL2"/>
    <mergeCell ref="M36:N36"/>
    <mergeCell ref="AN2:AO2"/>
    <mergeCell ref="AQ2:AR2"/>
    <mergeCell ref="AT2:AU2"/>
    <mergeCell ref="AW2:AX2"/>
    <mergeCell ref="S2:T2"/>
    <mergeCell ref="B30:E30"/>
    <mergeCell ref="B31:F31"/>
    <mergeCell ref="D36:E36"/>
    <mergeCell ref="G36:H36"/>
    <mergeCell ref="J36:K36"/>
    <mergeCell ref="AZ36:BA36"/>
    <mergeCell ref="BC36:BD36"/>
    <mergeCell ref="A39:C39"/>
    <mergeCell ref="C42:M43"/>
    <mergeCell ref="AH36:AI36"/>
    <mergeCell ref="AK36:AL36"/>
    <mergeCell ref="AN36:AO36"/>
    <mergeCell ref="AQ36:AR36"/>
    <mergeCell ref="AT36:AU36"/>
    <mergeCell ref="AW36:AX36"/>
    <mergeCell ref="P36:Q36"/>
    <mergeCell ref="S36:T36"/>
    <mergeCell ref="V36:W36"/>
    <mergeCell ref="Y36:Z36"/>
    <mergeCell ref="AB36:AC36"/>
    <mergeCell ref="AE36:AF3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7BE22-7D00-4204-AA2B-FAC54D566C83}">
  <dimension ref="A1:BN79"/>
  <sheetViews>
    <sheetView zoomScale="80" zoomScaleNormal="80" workbookViewId="0">
      <pane xSplit="2" ySplit="3" topLeftCell="C9" activePane="bottomRight" state="frozen"/>
      <selection pane="topRight" activeCell="C1" sqref="C1"/>
      <selection pane="bottomLeft" activeCell="A4" sqref="A4"/>
      <selection pane="bottomRight" activeCell="D21" sqref="D21"/>
    </sheetView>
  </sheetViews>
  <sheetFormatPr defaultColWidth="8.85546875" defaultRowHeight="15" x14ac:dyDescent="0.25"/>
  <cols>
    <col min="1" max="1" width="50.7109375" style="1" customWidth="1"/>
    <col min="2" max="2" width="11.5703125" style="1" customWidth="1"/>
    <col min="3" max="3" width="10.5703125" style="1" customWidth="1"/>
    <col min="4" max="4" width="7.7109375" style="1" customWidth="1"/>
    <col min="5" max="5" width="3.5703125" style="1" customWidth="1"/>
    <col min="6" max="7" width="7.7109375" style="1" customWidth="1"/>
    <col min="8" max="8" width="4" style="1" customWidth="1"/>
    <col min="9" max="10" width="6.7109375" style="1" customWidth="1"/>
    <col min="11" max="11" width="4" style="1" customWidth="1"/>
    <col min="12" max="13" width="7.7109375" style="1" customWidth="1"/>
    <col min="14" max="14" width="5.5703125" style="1" customWidth="1"/>
    <col min="15" max="16" width="7.7109375" style="1" customWidth="1"/>
    <col min="17" max="17" width="5.5703125" style="1" customWidth="1"/>
    <col min="18" max="18" width="7.7109375" style="1" bestFit="1" customWidth="1"/>
    <col min="19" max="19" width="7.85546875" style="1" bestFit="1" customWidth="1"/>
    <col min="20" max="20" width="5.5703125" style="1" customWidth="1"/>
    <col min="21" max="22" width="12.5703125" style="1" customWidth="1"/>
    <col min="23" max="23" width="3" style="1" customWidth="1"/>
    <col min="24" max="25" width="10.7109375" style="1" customWidth="1"/>
    <col min="26" max="26" width="5.7109375" style="1" bestFit="1" customWidth="1"/>
    <col min="27" max="28" width="8.140625" style="1" bestFit="1" customWidth="1"/>
    <col min="29" max="29" width="5.7109375" style="1" customWidth="1"/>
    <col min="30" max="30" width="8.28515625" style="1" customWidth="1"/>
    <col min="31" max="31" width="8.85546875" style="1" customWidth="1"/>
    <col min="32" max="32" width="5.7109375" style="1" customWidth="1"/>
    <col min="33" max="34" width="6.7109375" style="1" bestFit="1" customWidth="1"/>
    <col min="35" max="35" width="5.7109375" style="1" customWidth="1"/>
    <col min="36" max="36" width="7.140625" style="1" bestFit="1" customWidth="1"/>
    <col min="37" max="37" width="6.140625" style="1" bestFit="1" customWidth="1"/>
    <col min="38" max="38" width="7.7109375" style="1" bestFit="1" customWidth="1"/>
    <col min="39" max="40" width="8" style="1" bestFit="1" customWidth="1"/>
    <col min="41" max="41" width="3.28515625" style="1" customWidth="1"/>
    <col min="42" max="42" width="5.140625" style="1" bestFit="1" customWidth="1"/>
    <col min="43" max="43" width="6.140625" style="1" bestFit="1" customWidth="1"/>
    <col min="44" max="44" width="5.140625" style="1" customWidth="1"/>
    <col min="45" max="46" width="6.5703125" style="1" bestFit="1" customWidth="1"/>
    <col min="47" max="47" width="5.140625" style="1" customWidth="1"/>
    <col min="48" max="48" width="8.85546875" style="1" customWidth="1"/>
    <col min="49" max="49" width="8" style="1" customWidth="1"/>
    <col min="50" max="50" width="5.42578125" style="1" customWidth="1"/>
    <col min="51" max="52" width="6.7109375" style="1" customWidth="1"/>
    <col min="53" max="53" width="5.42578125" style="1" customWidth="1"/>
    <col min="54" max="55" width="8" style="1" customWidth="1"/>
    <col min="56" max="56" width="6.140625" style="1" customWidth="1"/>
    <col min="57" max="58" width="8" style="1" bestFit="1" customWidth="1"/>
    <col min="59" max="59" width="7.140625" style="1" bestFit="1" customWidth="1"/>
    <col min="60" max="60" width="6.140625" style="1" customWidth="1"/>
    <col min="61" max="62" width="6.5703125" style="1" bestFit="1" customWidth="1"/>
    <col min="63" max="64" width="8" style="1" customWidth="1"/>
    <col min="65" max="65" width="1.42578125" style="1" customWidth="1"/>
    <col min="66" max="67" width="8.7109375" style="1" customWidth="1"/>
    <col min="68" max="68" width="8.85546875" style="1" customWidth="1"/>
    <col min="69" max="16384" width="8.85546875" style="1"/>
  </cols>
  <sheetData>
    <row r="1" spans="1:62" ht="17.100000000000001" customHeight="1" thickBot="1" x14ac:dyDescent="0.3">
      <c r="A1" s="184" t="s">
        <v>174</v>
      </c>
      <c r="C1" s="171" t="s">
        <v>0</v>
      </c>
      <c r="D1" s="163">
        <v>0.03</v>
      </c>
      <c r="E1" s="38"/>
      <c r="F1" s="38"/>
      <c r="G1" s="193">
        <v>0.1</v>
      </c>
      <c r="H1" s="170" t="s">
        <v>1</v>
      </c>
      <c r="M1" s="91">
        <v>0.1</v>
      </c>
      <c r="X1" s="91">
        <v>0.5</v>
      </c>
      <c r="AL1" s="91">
        <v>0.1</v>
      </c>
      <c r="AM1" s="220"/>
      <c r="AN1" s="220"/>
    </row>
    <row r="2" spans="1:62" ht="45" customHeight="1" x14ac:dyDescent="0.25">
      <c r="A2" s="34"/>
      <c r="B2" s="39"/>
      <c r="C2" s="217" t="s">
        <v>2</v>
      </c>
      <c r="D2" s="217"/>
      <c r="E2" s="90"/>
      <c r="F2" s="218" t="s">
        <v>3</v>
      </c>
      <c r="G2" s="218"/>
      <c r="H2" s="52"/>
      <c r="I2" s="212" t="s">
        <v>4</v>
      </c>
      <c r="J2" s="212"/>
      <c r="K2" s="52"/>
      <c r="L2" s="219" t="s">
        <v>5</v>
      </c>
      <c r="M2" s="219"/>
      <c r="N2" s="52"/>
      <c r="O2" s="219" t="s">
        <v>6</v>
      </c>
      <c r="P2" s="219"/>
      <c r="Q2" s="52"/>
      <c r="R2" s="219" t="s">
        <v>7</v>
      </c>
      <c r="S2" s="219"/>
      <c r="T2" s="52"/>
      <c r="U2" s="214" t="s">
        <v>8</v>
      </c>
      <c r="V2" s="214"/>
      <c r="W2" s="52"/>
      <c r="X2" s="211" t="s">
        <v>9</v>
      </c>
      <c r="Y2" s="211"/>
      <c r="AA2" s="215" t="s">
        <v>10</v>
      </c>
      <c r="AB2" s="215"/>
      <c r="AD2" s="211" t="s">
        <v>11</v>
      </c>
      <c r="AE2" s="211"/>
      <c r="AG2" s="211" t="s">
        <v>12</v>
      </c>
      <c r="AH2" s="211"/>
      <c r="AJ2" s="211" t="s">
        <v>13</v>
      </c>
      <c r="AK2" s="211"/>
      <c r="AM2" s="211" t="s">
        <v>14</v>
      </c>
      <c r="AN2" s="211"/>
      <c r="AP2" s="212" t="s">
        <v>15</v>
      </c>
      <c r="AQ2" s="212"/>
      <c r="AS2" s="219" t="s">
        <v>16</v>
      </c>
      <c r="AT2" s="219"/>
      <c r="AV2" s="213" t="s">
        <v>17</v>
      </c>
      <c r="AW2" s="213"/>
      <c r="AY2" s="213" t="s">
        <v>18</v>
      </c>
      <c r="AZ2" s="213"/>
      <c r="BB2" s="213" t="s">
        <v>19</v>
      </c>
      <c r="BC2" s="213"/>
    </row>
    <row r="3" spans="1:62" s="34" customFormat="1" x14ac:dyDescent="0.25">
      <c r="C3" s="54" t="s">
        <v>20</v>
      </c>
      <c r="D3" s="54" t="s">
        <v>21</v>
      </c>
      <c r="E3" s="54"/>
      <c r="F3" s="34" t="s">
        <v>20</v>
      </c>
      <c r="G3" s="54" t="s">
        <v>21</v>
      </c>
      <c r="I3" s="34" t="s">
        <v>20</v>
      </c>
      <c r="J3" s="54" t="s">
        <v>21</v>
      </c>
      <c r="L3" s="34" t="s">
        <v>20</v>
      </c>
      <c r="M3" s="54" t="s">
        <v>21</v>
      </c>
      <c r="O3" s="34" t="s">
        <v>20</v>
      </c>
      <c r="P3" s="54" t="s">
        <v>21</v>
      </c>
      <c r="R3" s="34" t="s">
        <v>20</v>
      </c>
      <c r="S3" s="54" t="s">
        <v>21</v>
      </c>
      <c r="U3" s="34" t="s">
        <v>20</v>
      </c>
      <c r="V3" s="34" t="s">
        <v>21</v>
      </c>
      <c r="X3" s="34" t="s">
        <v>20</v>
      </c>
      <c r="Y3" s="34" t="s">
        <v>21</v>
      </c>
      <c r="AA3" s="34" t="s">
        <v>20</v>
      </c>
      <c r="AB3" s="34" t="s">
        <v>21</v>
      </c>
      <c r="AD3" s="34" t="s">
        <v>20</v>
      </c>
      <c r="AE3" s="34" t="s">
        <v>21</v>
      </c>
      <c r="AG3" s="34" t="s">
        <v>20</v>
      </c>
      <c r="AH3" s="34" t="s">
        <v>21</v>
      </c>
      <c r="AJ3" s="34" t="s">
        <v>20</v>
      </c>
      <c r="AK3" s="34" t="s">
        <v>21</v>
      </c>
      <c r="AM3" s="34" t="s">
        <v>20</v>
      </c>
      <c r="AN3" s="34" t="s">
        <v>21</v>
      </c>
      <c r="AP3" s="34" t="s">
        <v>20</v>
      </c>
      <c r="AQ3" s="34" t="s">
        <v>21</v>
      </c>
      <c r="AS3" s="34" t="s">
        <v>20</v>
      </c>
      <c r="AT3" s="34" t="s">
        <v>21</v>
      </c>
      <c r="AV3" s="34" t="s">
        <v>20</v>
      </c>
      <c r="AW3" s="54" t="s">
        <v>21</v>
      </c>
      <c r="AY3" s="34" t="s">
        <v>20</v>
      </c>
      <c r="AZ3" s="54" t="s">
        <v>21</v>
      </c>
      <c r="BB3" s="34" t="s">
        <v>20</v>
      </c>
      <c r="BC3" s="54" t="s">
        <v>21</v>
      </c>
    </row>
    <row r="4" spans="1:62" x14ac:dyDescent="0.25">
      <c r="B4" s="32" t="s">
        <v>22</v>
      </c>
      <c r="C4" s="40"/>
      <c r="D4" s="40"/>
      <c r="E4" s="40"/>
      <c r="F4" s="40"/>
      <c r="L4" s="39"/>
      <c r="M4" s="41"/>
      <c r="AA4" s="39"/>
      <c r="AB4" s="39"/>
    </row>
    <row r="5" spans="1:62" x14ac:dyDescent="0.25">
      <c r="B5" s="25" t="s">
        <v>23</v>
      </c>
      <c r="C5" s="149">
        <f>ROUND('ST Standard from 1 Apr25'!C5*SUM(1+1*'ST Standard from 24 Feb 26'!$D$1),2)</f>
        <v>9.4700000000000006</v>
      </c>
      <c r="D5" s="149">
        <f>ROUND('ST Standard from 1 Apr25'!D5*SUM(1+1*'ST Standard from 24 Feb 26'!$D$1),2)</f>
        <v>14.47</v>
      </c>
      <c r="E5" s="41"/>
      <c r="F5" s="41">
        <f t="shared" ref="F5:G9" si="0">C5*SUM(1+$G$1/$X$1)</f>
        <v>11.364000000000001</v>
      </c>
      <c r="G5" s="41">
        <f t="shared" si="0"/>
        <v>17.364000000000001</v>
      </c>
      <c r="H5" s="82"/>
      <c r="I5" s="41">
        <f>F5-C5</f>
        <v>1.8940000000000001</v>
      </c>
      <c r="J5" s="41">
        <f>G5-D5</f>
        <v>2.8940000000000001</v>
      </c>
      <c r="K5" s="82"/>
      <c r="L5" s="41">
        <f>ROUND(C5*(1+$G$1*2),2)*SUM(1+$M$1)</f>
        <v>12.496</v>
      </c>
      <c r="M5" s="41">
        <f t="shared" ref="L5:M9" si="1">ROUND(D5*(1+$G$1*2),2)*SUM(1+$M$1)</f>
        <v>19.096</v>
      </c>
      <c r="N5" s="82"/>
      <c r="O5" s="41">
        <f>L5-C5</f>
        <v>3.0259999999999998</v>
      </c>
      <c r="P5" s="41">
        <f>M5-D5</f>
        <v>4.6259999999999994</v>
      </c>
      <c r="Q5" s="82"/>
      <c r="R5" s="76">
        <f t="shared" ref="R5:S9" si="2">AJ5/F5</f>
        <v>0.10031678986272438</v>
      </c>
      <c r="S5" s="76">
        <f t="shared" si="2"/>
        <v>0.10020732550103663</v>
      </c>
      <c r="T5" s="82"/>
      <c r="U5" s="41">
        <f t="shared" ref="U5:V9" si="3">SUM(C5/(1-$X$1))</f>
        <v>18.940000000000001</v>
      </c>
      <c r="V5" s="41">
        <f t="shared" si="3"/>
        <v>28.94</v>
      </c>
      <c r="W5" s="82"/>
      <c r="X5" s="41">
        <f>ROUND(C5/(1-$X$1)*1.2,2)</f>
        <v>22.73</v>
      </c>
      <c r="Y5" s="41">
        <f>ROUND(D5/(1-$X$1)*1.2,2)</f>
        <v>34.729999999999997</v>
      </c>
      <c r="AA5" s="182">
        <f>ROUNDDOWN(C5/(1-$X$1)*1.2,1)</f>
        <v>22.7</v>
      </c>
      <c r="AB5" s="182">
        <f>ROUNDDOWN(D5/(1-$X$1)*1.2,1)</f>
        <v>34.700000000000003</v>
      </c>
      <c r="AD5" s="40">
        <f>AA5/1.2</f>
        <v>18.916666666666668</v>
      </c>
      <c r="AE5" s="40">
        <f>AB5/1.2</f>
        <v>28.916666666666671</v>
      </c>
      <c r="AG5" s="40">
        <f>X5-AA5</f>
        <v>3.0000000000001137E-2</v>
      </c>
      <c r="AH5" s="40">
        <f>Y5-AB5</f>
        <v>2.9999999999994031E-2</v>
      </c>
      <c r="AJ5" s="40">
        <f t="shared" ref="AJ5:AK9" si="4">ROUND(L5*(1-(1/(1+$AL$1))),2)</f>
        <v>1.1399999999999999</v>
      </c>
      <c r="AK5" s="40">
        <f t="shared" si="4"/>
        <v>1.74</v>
      </c>
      <c r="AL5" s="40"/>
      <c r="AM5" s="180">
        <f>SUM(U5-F5)-AG5</f>
        <v>7.5459999999999994</v>
      </c>
      <c r="AN5" s="180">
        <f>SUM(V5-G5)-AH5</f>
        <v>11.546000000000006</v>
      </c>
      <c r="AP5" s="76">
        <f t="shared" ref="AP5:AQ9" si="5">(SUM(F5-C5)/C5)*$X$1</f>
        <v>0.1</v>
      </c>
      <c r="AQ5" s="76">
        <f t="shared" si="5"/>
        <v>0.1</v>
      </c>
      <c r="AS5" s="76">
        <f t="shared" ref="AS5:AT9" si="6">AM5/U5</f>
        <v>0.39841605068637798</v>
      </c>
      <c r="AT5" s="76">
        <f t="shared" si="6"/>
        <v>0.39896337249481706</v>
      </c>
      <c r="AU5" s="40"/>
      <c r="AV5" s="76">
        <f t="shared" ref="AV5:AW9" si="7">C5/U5</f>
        <v>0.5</v>
      </c>
      <c r="AW5" s="76">
        <f t="shared" si="7"/>
        <v>0.5</v>
      </c>
      <c r="AX5" s="42"/>
      <c r="AY5" s="42">
        <f t="shared" ref="AY5:AZ9" si="8">I5+AM5</f>
        <v>9.44</v>
      </c>
      <c r="AZ5" s="42">
        <f t="shared" si="8"/>
        <v>14.440000000000007</v>
      </c>
      <c r="BA5" s="42"/>
      <c r="BB5" s="76">
        <f t="shared" ref="BB5:BC9" si="9">AY5/(C5/$X$1)</f>
        <v>0.49841605068637795</v>
      </c>
      <c r="BC5" s="76">
        <f t="shared" si="9"/>
        <v>0.49896337249481709</v>
      </c>
      <c r="BE5" s="40"/>
      <c r="BF5" s="40"/>
      <c r="BG5" s="40"/>
      <c r="BH5" s="40"/>
      <c r="BI5" s="76"/>
      <c r="BJ5" s="76"/>
    </row>
    <row r="6" spans="1:62" x14ac:dyDescent="0.25">
      <c r="B6" s="25" t="s">
        <v>24</v>
      </c>
      <c r="C6" s="149">
        <f>ROUND('ST Standard from 1 Apr25'!C6*SUM(1+1*'ST Standard from 24 Feb 26'!$D$1),2)</f>
        <v>9.94</v>
      </c>
      <c r="D6" s="149">
        <f>ROUND('ST Standard from 1 Apr25'!D6*SUM(1+1*'ST Standard from 24 Feb 26'!$D$1),2)</f>
        <v>15.2</v>
      </c>
      <c r="E6" s="41"/>
      <c r="F6" s="41">
        <f t="shared" si="0"/>
        <v>11.927999999999999</v>
      </c>
      <c r="G6" s="41">
        <f t="shared" si="0"/>
        <v>18.239999999999998</v>
      </c>
      <c r="H6" s="82"/>
      <c r="I6" s="41">
        <f t="shared" ref="I6:J9" si="10">F6-C6</f>
        <v>1.9879999999999995</v>
      </c>
      <c r="J6" s="41">
        <f t="shared" si="10"/>
        <v>3.0399999999999991</v>
      </c>
      <c r="K6" s="82"/>
      <c r="L6" s="41">
        <f t="shared" si="1"/>
        <v>13.123000000000001</v>
      </c>
      <c r="M6" s="41">
        <f t="shared" si="1"/>
        <v>20.064</v>
      </c>
      <c r="N6" s="82"/>
      <c r="O6" s="41">
        <f t="shared" ref="O6:P9" si="11">L6-C6</f>
        <v>3.1830000000000016</v>
      </c>
      <c r="P6" s="41">
        <f t="shared" si="11"/>
        <v>4.8640000000000008</v>
      </c>
      <c r="Q6" s="82"/>
      <c r="R6" s="76">
        <f t="shared" si="2"/>
        <v>9.9765258215962438E-2</v>
      </c>
      <c r="S6" s="76">
        <f t="shared" si="2"/>
        <v>9.9780701754385984E-2</v>
      </c>
      <c r="T6" s="82"/>
      <c r="U6" s="41">
        <f t="shared" si="3"/>
        <v>19.88</v>
      </c>
      <c r="V6" s="41">
        <f t="shared" si="3"/>
        <v>30.4</v>
      </c>
      <c r="W6" s="82"/>
      <c r="X6" s="41">
        <f t="shared" ref="X6:Y9" si="12">ROUND(C6/(1-$X$1)*1.2,2)</f>
        <v>23.86</v>
      </c>
      <c r="Y6" s="41">
        <f t="shared" si="12"/>
        <v>36.479999999999997</v>
      </c>
      <c r="AA6" s="182">
        <f t="shared" ref="AA6:AB9" si="13">ROUNDDOWN(C6/(1-$X$1)*1.2,1)</f>
        <v>23.8</v>
      </c>
      <c r="AB6" s="182">
        <f t="shared" si="13"/>
        <v>36.4</v>
      </c>
      <c r="AD6" s="40">
        <f t="shared" ref="AD6:AE9" si="14">AA6/1.2</f>
        <v>19.833333333333336</v>
      </c>
      <c r="AE6" s="40">
        <f t="shared" si="14"/>
        <v>30.333333333333332</v>
      </c>
      <c r="AG6" s="40">
        <f t="shared" ref="AG6:AH9" si="15">X6-AA6</f>
        <v>5.9999999999998721E-2</v>
      </c>
      <c r="AH6" s="40">
        <f t="shared" si="15"/>
        <v>7.9999999999998295E-2</v>
      </c>
      <c r="AJ6" s="40">
        <f t="shared" si="4"/>
        <v>1.19</v>
      </c>
      <c r="AK6" s="40">
        <f t="shared" si="4"/>
        <v>1.82</v>
      </c>
      <c r="AL6" s="40"/>
      <c r="AM6" s="180">
        <f t="shared" ref="AM6:AM9" si="16">SUM(U6-F6)-AG6</f>
        <v>7.8920000000000012</v>
      </c>
      <c r="AN6" s="180">
        <f t="shared" ref="AN6:AN9" si="17">SUM(V6-G6)-AH6</f>
        <v>12.080000000000002</v>
      </c>
      <c r="AP6" s="76">
        <f t="shared" si="5"/>
        <v>9.9999999999999978E-2</v>
      </c>
      <c r="AQ6" s="76">
        <f t="shared" si="5"/>
        <v>9.9999999999999978E-2</v>
      </c>
      <c r="AS6" s="76">
        <f t="shared" si="6"/>
        <v>0.39698189134808859</v>
      </c>
      <c r="AT6" s="76">
        <f t="shared" si="6"/>
        <v>0.39736842105263165</v>
      </c>
      <c r="AV6" s="76">
        <f t="shared" si="7"/>
        <v>0.5</v>
      </c>
      <c r="AW6" s="76">
        <f t="shared" si="7"/>
        <v>0.5</v>
      </c>
      <c r="AX6" s="42"/>
      <c r="AY6" s="42">
        <f t="shared" si="8"/>
        <v>9.8800000000000008</v>
      </c>
      <c r="AZ6" s="42">
        <f t="shared" si="8"/>
        <v>15.120000000000001</v>
      </c>
      <c r="BA6" s="42"/>
      <c r="BB6" s="76">
        <f t="shared" si="9"/>
        <v>0.49698189134808862</v>
      </c>
      <c r="BC6" s="76">
        <f t="shared" si="9"/>
        <v>0.49736842105263163</v>
      </c>
      <c r="BF6" s="40"/>
      <c r="BG6" s="40"/>
      <c r="BI6" s="76"/>
      <c r="BJ6" s="76"/>
    </row>
    <row r="7" spans="1:62" x14ac:dyDescent="0.25">
      <c r="B7" s="25" t="s">
        <v>25</v>
      </c>
      <c r="C7" s="149">
        <f>ROUND('ST Standard from 1 Apr25'!C7*SUM(1+1*'ST Standard from 24 Feb 26'!$D$1),2)</f>
        <v>10.97</v>
      </c>
      <c r="D7" s="149">
        <f>ROUND('ST Standard from 1 Apr25'!D7*SUM(1+1*'ST Standard from 24 Feb 26'!$D$1),2)</f>
        <v>16.79</v>
      </c>
      <c r="E7" s="41"/>
      <c r="F7" s="41">
        <f t="shared" si="0"/>
        <v>13.164</v>
      </c>
      <c r="G7" s="41">
        <f t="shared" si="0"/>
        <v>20.148</v>
      </c>
      <c r="H7" s="82"/>
      <c r="I7" s="41">
        <f t="shared" si="10"/>
        <v>2.1939999999999991</v>
      </c>
      <c r="J7" s="41">
        <f t="shared" si="10"/>
        <v>3.3580000000000005</v>
      </c>
      <c r="K7" s="82"/>
      <c r="L7" s="41">
        <f t="shared" si="1"/>
        <v>14.476000000000001</v>
      </c>
      <c r="M7" s="41">
        <f t="shared" si="1"/>
        <v>22.164999999999999</v>
      </c>
      <c r="N7" s="82"/>
      <c r="O7" s="41">
        <f t="shared" si="11"/>
        <v>3.5060000000000002</v>
      </c>
      <c r="P7" s="41">
        <f t="shared" si="11"/>
        <v>5.375</v>
      </c>
      <c r="Q7" s="82"/>
      <c r="R7" s="76">
        <f t="shared" si="2"/>
        <v>0.10027347310847767</v>
      </c>
      <c r="S7" s="76">
        <f t="shared" si="2"/>
        <v>0.10025809013301569</v>
      </c>
      <c r="T7" s="82"/>
      <c r="U7" s="41">
        <f t="shared" si="3"/>
        <v>21.94</v>
      </c>
      <c r="V7" s="41">
        <f t="shared" si="3"/>
        <v>33.58</v>
      </c>
      <c r="W7" s="82"/>
      <c r="X7" s="41">
        <f t="shared" si="12"/>
        <v>26.33</v>
      </c>
      <c r="Y7" s="41">
        <f t="shared" si="12"/>
        <v>40.299999999999997</v>
      </c>
      <c r="AA7" s="182">
        <f t="shared" si="13"/>
        <v>26.3</v>
      </c>
      <c r="AB7" s="182">
        <f t="shared" si="13"/>
        <v>40.200000000000003</v>
      </c>
      <c r="AD7" s="40">
        <f t="shared" si="14"/>
        <v>21.916666666666668</v>
      </c>
      <c r="AE7" s="40">
        <f t="shared" si="14"/>
        <v>33.500000000000007</v>
      </c>
      <c r="AG7" s="40">
        <f t="shared" si="15"/>
        <v>2.9999999999997584E-2</v>
      </c>
      <c r="AH7" s="40">
        <f t="shared" si="15"/>
        <v>9.9999999999994316E-2</v>
      </c>
      <c r="AJ7" s="40">
        <f t="shared" si="4"/>
        <v>1.32</v>
      </c>
      <c r="AK7" s="40">
        <f t="shared" si="4"/>
        <v>2.02</v>
      </c>
      <c r="AL7" s="40"/>
      <c r="AM7" s="180">
        <f t="shared" si="16"/>
        <v>8.746000000000004</v>
      </c>
      <c r="AN7" s="180">
        <f t="shared" si="17"/>
        <v>13.332000000000004</v>
      </c>
      <c r="AP7" s="76">
        <f t="shared" si="5"/>
        <v>9.999999999999995E-2</v>
      </c>
      <c r="AQ7" s="76">
        <f t="shared" si="5"/>
        <v>0.10000000000000002</v>
      </c>
      <c r="AS7" s="76">
        <f t="shared" si="6"/>
        <v>0.39863263445761182</v>
      </c>
      <c r="AT7" s="76">
        <f t="shared" si="6"/>
        <v>0.39702203692674226</v>
      </c>
      <c r="AV7" s="76">
        <f t="shared" si="7"/>
        <v>0.5</v>
      </c>
      <c r="AW7" s="76">
        <f t="shared" si="7"/>
        <v>0.5</v>
      </c>
      <c r="AX7" s="42"/>
      <c r="AY7" s="42">
        <f t="shared" si="8"/>
        <v>10.940000000000003</v>
      </c>
      <c r="AZ7" s="42">
        <f t="shared" si="8"/>
        <v>16.690000000000005</v>
      </c>
      <c r="BA7" s="42"/>
      <c r="BB7" s="76">
        <f t="shared" si="9"/>
        <v>0.4986326344576118</v>
      </c>
      <c r="BC7" s="76">
        <f t="shared" si="9"/>
        <v>0.49702203692674229</v>
      </c>
      <c r="BF7" s="40"/>
      <c r="BG7" s="40"/>
      <c r="BI7" s="76"/>
      <c r="BJ7" s="76"/>
    </row>
    <row r="8" spans="1:62" x14ac:dyDescent="0.25">
      <c r="B8" s="25" t="s">
        <v>26</v>
      </c>
      <c r="C8" s="149">
        <f>ROUND('ST Standard from 1 Apr25'!C8*SUM(1+1*'ST Standard from 24 Feb 26'!$D$1),2)</f>
        <v>12.1</v>
      </c>
      <c r="D8" s="149">
        <f>ROUND('ST Standard from 1 Apr25'!D8*SUM(1+1*'ST Standard from 24 Feb 26'!$D$1),2)</f>
        <v>18.489999999999998</v>
      </c>
      <c r="E8" s="41"/>
      <c r="F8" s="41">
        <f t="shared" si="0"/>
        <v>14.52</v>
      </c>
      <c r="G8" s="41">
        <f t="shared" si="0"/>
        <v>22.187999999999999</v>
      </c>
      <c r="H8" s="82"/>
      <c r="I8" s="41">
        <f t="shared" si="10"/>
        <v>2.42</v>
      </c>
      <c r="J8" s="41">
        <f t="shared" si="10"/>
        <v>3.6980000000000004</v>
      </c>
      <c r="K8" s="82"/>
      <c r="L8" s="41">
        <f t="shared" si="1"/>
        <v>15.972000000000001</v>
      </c>
      <c r="M8" s="41">
        <f t="shared" si="1"/>
        <v>24.409000000000002</v>
      </c>
      <c r="N8" s="82"/>
      <c r="O8" s="41">
        <f t="shared" si="11"/>
        <v>3.8720000000000017</v>
      </c>
      <c r="P8" s="41">
        <f t="shared" si="11"/>
        <v>5.919000000000004</v>
      </c>
      <c r="Q8" s="82"/>
      <c r="R8" s="76">
        <f t="shared" si="2"/>
        <v>9.986225895316804E-2</v>
      </c>
      <c r="S8" s="76">
        <f t="shared" si="2"/>
        <v>0.10005408328826394</v>
      </c>
      <c r="T8" s="82"/>
      <c r="U8" s="41">
        <f t="shared" si="3"/>
        <v>24.2</v>
      </c>
      <c r="V8" s="41">
        <f t="shared" si="3"/>
        <v>36.979999999999997</v>
      </c>
      <c r="W8" s="82"/>
      <c r="X8" s="41">
        <f t="shared" si="12"/>
        <v>29.04</v>
      </c>
      <c r="Y8" s="41">
        <f t="shared" si="12"/>
        <v>44.38</v>
      </c>
      <c r="AA8" s="182">
        <f t="shared" si="13"/>
        <v>29</v>
      </c>
      <c r="AB8" s="182">
        <f t="shared" si="13"/>
        <v>44.3</v>
      </c>
      <c r="AD8" s="40">
        <f t="shared" si="14"/>
        <v>24.166666666666668</v>
      </c>
      <c r="AE8" s="40">
        <f t="shared" si="14"/>
        <v>36.916666666666664</v>
      </c>
      <c r="AG8" s="40">
        <f t="shared" si="15"/>
        <v>3.9999999999999147E-2</v>
      </c>
      <c r="AH8" s="40">
        <f t="shared" si="15"/>
        <v>8.00000000000054E-2</v>
      </c>
      <c r="AJ8" s="40">
        <f t="shared" si="4"/>
        <v>1.45</v>
      </c>
      <c r="AK8" s="40">
        <f t="shared" si="4"/>
        <v>2.2200000000000002</v>
      </c>
      <c r="AL8" s="40"/>
      <c r="AM8" s="180">
        <f t="shared" si="16"/>
        <v>9.64</v>
      </c>
      <c r="AN8" s="180">
        <f t="shared" si="17"/>
        <v>14.711999999999993</v>
      </c>
      <c r="AP8" s="76">
        <f t="shared" si="5"/>
        <v>0.1</v>
      </c>
      <c r="AQ8" s="76">
        <f t="shared" si="5"/>
        <v>0.10000000000000002</v>
      </c>
      <c r="AS8" s="76">
        <f t="shared" si="6"/>
        <v>0.39834710743801655</v>
      </c>
      <c r="AT8" s="76">
        <f t="shared" si="6"/>
        <v>0.39783666846944277</v>
      </c>
      <c r="AV8" s="76">
        <f t="shared" si="7"/>
        <v>0.5</v>
      </c>
      <c r="AW8" s="76">
        <f t="shared" si="7"/>
        <v>0.5</v>
      </c>
      <c r="AX8" s="42"/>
      <c r="AY8" s="42">
        <f t="shared" si="8"/>
        <v>12.06</v>
      </c>
      <c r="AZ8" s="42">
        <f t="shared" si="8"/>
        <v>18.409999999999993</v>
      </c>
      <c r="BA8" s="42"/>
      <c r="BB8" s="76">
        <f t="shared" si="9"/>
        <v>0.49834710743801658</v>
      </c>
      <c r="BC8" s="76">
        <f t="shared" si="9"/>
        <v>0.4978366684694428</v>
      </c>
      <c r="BF8" s="40"/>
      <c r="BG8" s="40"/>
      <c r="BI8" s="76"/>
      <c r="BJ8" s="76"/>
    </row>
    <row r="9" spans="1:62" x14ac:dyDescent="0.25">
      <c r="B9" s="25" t="s">
        <v>27</v>
      </c>
      <c r="C9" s="149">
        <f>ROUND('ST Standard from 1 Apr25'!C9*SUM(1+1*'ST Standard from 24 Feb 26'!$D$1),2)</f>
        <v>12.12</v>
      </c>
      <c r="D9" s="149">
        <f>ROUND('ST Standard from 1 Apr25'!D9*SUM(1+1*'ST Standard from 24 Feb 26'!$D$1),2)</f>
        <v>18.5</v>
      </c>
      <c r="E9" s="41"/>
      <c r="F9" s="41">
        <f t="shared" si="0"/>
        <v>14.543999999999999</v>
      </c>
      <c r="G9" s="41">
        <f t="shared" si="0"/>
        <v>22.2</v>
      </c>
      <c r="H9" s="82"/>
      <c r="I9" s="41">
        <f t="shared" si="10"/>
        <v>2.4239999999999995</v>
      </c>
      <c r="J9" s="41">
        <f t="shared" si="10"/>
        <v>3.6999999999999993</v>
      </c>
      <c r="K9" s="82"/>
      <c r="L9" s="41">
        <f t="shared" si="1"/>
        <v>15.994</v>
      </c>
      <c r="M9" s="41">
        <f t="shared" si="1"/>
        <v>24.42</v>
      </c>
      <c r="N9" s="82"/>
      <c r="O9" s="41">
        <f t="shared" si="11"/>
        <v>3.8740000000000006</v>
      </c>
      <c r="P9" s="41">
        <f t="shared" si="11"/>
        <v>5.9200000000000017</v>
      </c>
      <c r="Q9" s="82"/>
      <c r="R9" s="76">
        <f t="shared" si="2"/>
        <v>9.9697469746974701E-2</v>
      </c>
      <c r="S9" s="76">
        <f t="shared" si="2"/>
        <v>0.1</v>
      </c>
      <c r="T9" s="82"/>
      <c r="U9" s="41">
        <f t="shared" si="3"/>
        <v>24.24</v>
      </c>
      <c r="V9" s="41">
        <f t="shared" si="3"/>
        <v>37</v>
      </c>
      <c r="W9" s="82"/>
      <c r="X9" s="41">
        <f t="shared" si="12"/>
        <v>29.09</v>
      </c>
      <c r="Y9" s="41">
        <f t="shared" si="12"/>
        <v>44.4</v>
      </c>
      <c r="AA9" s="182">
        <f t="shared" si="13"/>
        <v>29</v>
      </c>
      <c r="AB9" s="182">
        <f t="shared" si="13"/>
        <v>44.4</v>
      </c>
      <c r="AD9" s="40">
        <f t="shared" si="14"/>
        <v>24.166666666666668</v>
      </c>
      <c r="AE9" s="40">
        <f t="shared" si="14"/>
        <v>37</v>
      </c>
      <c r="AG9" s="40">
        <f t="shared" si="15"/>
        <v>8.9999999999999858E-2</v>
      </c>
      <c r="AH9" s="40">
        <f t="shared" si="15"/>
        <v>0</v>
      </c>
      <c r="AJ9" s="40">
        <f t="shared" si="4"/>
        <v>1.45</v>
      </c>
      <c r="AK9" s="40">
        <f t="shared" si="4"/>
        <v>2.2200000000000002</v>
      </c>
      <c r="AL9" s="40"/>
      <c r="AM9" s="180">
        <f t="shared" si="16"/>
        <v>9.6059999999999999</v>
      </c>
      <c r="AN9" s="180">
        <f t="shared" si="17"/>
        <v>14.8</v>
      </c>
      <c r="AP9" s="76">
        <f t="shared" si="5"/>
        <v>9.9999999999999992E-2</v>
      </c>
      <c r="AQ9" s="76">
        <f t="shared" si="5"/>
        <v>9.9999999999999978E-2</v>
      </c>
      <c r="AS9" s="76">
        <f t="shared" si="6"/>
        <v>0.39628712871287131</v>
      </c>
      <c r="AT9" s="76">
        <f t="shared" si="6"/>
        <v>0.4</v>
      </c>
      <c r="AV9" s="76">
        <f t="shared" si="7"/>
        <v>0.5</v>
      </c>
      <c r="AW9" s="76">
        <f t="shared" si="7"/>
        <v>0.5</v>
      </c>
      <c r="AX9" s="42"/>
      <c r="AY9" s="42">
        <f t="shared" si="8"/>
        <v>12.03</v>
      </c>
      <c r="AZ9" s="42">
        <f t="shared" si="8"/>
        <v>18.5</v>
      </c>
      <c r="BA9" s="42"/>
      <c r="BB9" s="76">
        <f t="shared" si="9"/>
        <v>0.49628712871287128</v>
      </c>
      <c r="BC9" s="76">
        <f t="shared" si="9"/>
        <v>0.5</v>
      </c>
      <c r="BF9" s="40"/>
      <c r="BG9" s="40"/>
      <c r="BI9" s="76"/>
      <c r="BJ9" s="76"/>
    </row>
    <row r="10" spans="1:62" x14ac:dyDescent="0.25">
      <c r="B10" s="25"/>
      <c r="C10" s="41"/>
      <c r="D10" s="41"/>
      <c r="E10" s="41"/>
      <c r="F10" s="41"/>
      <c r="G10" s="41"/>
      <c r="H10" s="4"/>
      <c r="I10" s="4"/>
      <c r="J10" s="4"/>
      <c r="K10" s="4"/>
      <c r="L10" s="41"/>
      <c r="M10" s="41"/>
      <c r="N10" s="4"/>
      <c r="O10" s="4"/>
      <c r="P10" s="4"/>
      <c r="Q10" s="4"/>
      <c r="R10" s="78"/>
      <c r="T10" s="4"/>
      <c r="U10" s="4"/>
      <c r="V10" s="4"/>
      <c r="W10" s="4"/>
      <c r="AJ10" s="40"/>
      <c r="AK10" s="40"/>
      <c r="AL10" s="40"/>
      <c r="AS10" s="103"/>
      <c r="AT10" s="103"/>
      <c r="AV10" s="40"/>
      <c r="AW10" s="40"/>
      <c r="BB10" s="77"/>
      <c r="BC10" s="77"/>
    </row>
    <row r="11" spans="1:62" x14ac:dyDescent="0.25">
      <c r="B11" s="32" t="s">
        <v>28</v>
      </c>
      <c r="C11" s="41"/>
      <c r="D11" s="41"/>
      <c r="E11" s="41"/>
      <c r="F11" s="41"/>
      <c r="G11" s="41"/>
      <c r="H11" s="4"/>
      <c r="I11" s="4"/>
      <c r="J11" s="4"/>
      <c r="K11" s="4"/>
      <c r="L11" s="41"/>
      <c r="M11" s="41"/>
      <c r="N11" s="4"/>
      <c r="O11" s="4"/>
      <c r="P11" s="4"/>
      <c r="Q11" s="4"/>
      <c r="R11" s="78"/>
      <c r="T11" s="4"/>
      <c r="U11" s="4"/>
      <c r="V11" s="4"/>
      <c r="W11" s="4"/>
      <c r="AJ11" s="40"/>
      <c r="AK11" s="40"/>
      <c r="AL11" s="40"/>
      <c r="AS11" s="103"/>
      <c r="AT11" s="103"/>
      <c r="AV11" s="40"/>
      <c r="AW11" s="40"/>
      <c r="BB11" s="77"/>
      <c r="BC11" s="77"/>
    </row>
    <row r="12" spans="1:62" x14ac:dyDescent="0.25">
      <c r="B12" s="25" t="s">
        <v>23</v>
      </c>
      <c r="C12" s="149">
        <f>ROUND('ST Standard from 1 Apr25'!C12*SUM(1+1*'ST Standard from 24 Feb 26'!$D$1),2)</f>
        <v>11.96</v>
      </c>
      <c r="D12" s="149">
        <f>ROUND('ST Standard from 1 Apr25'!D12*SUM(1+1*'ST Standard from 24 Feb 26'!$D$1),2)</f>
        <v>19.7</v>
      </c>
      <c r="E12" s="41"/>
      <c r="F12" s="41">
        <f t="shared" ref="F12:G17" si="18">C12*SUM(1+$G$1/$X$1)</f>
        <v>14.352</v>
      </c>
      <c r="G12" s="41">
        <f t="shared" si="18"/>
        <v>23.639999999999997</v>
      </c>
      <c r="H12" s="82"/>
      <c r="I12" s="41">
        <f t="shared" ref="I12:J17" si="19">F12-C12</f>
        <v>2.3919999999999995</v>
      </c>
      <c r="J12" s="41">
        <f t="shared" si="19"/>
        <v>3.9399999999999977</v>
      </c>
      <c r="K12" s="82"/>
      <c r="L12" s="41">
        <f t="shared" ref="L12:M17" si="20">ROUND(C12*(1+$G$1*2),2)*SUM(1+$M$1)</f>
        <v>15.785</v>
      </c>
      <c r="M12" s="41">
        <f t="shared" si="20"/>
        <v>26.004000000000001</v>
      </c>
      <c r="N12" s="82"/>
      <c r="O12" s="41">
        <f t="shared" ref="O12:P17" si="21">L12-C12</f>
        <v>3.8249999999999993</v>
      </c>
      <c r="P12" s="41">
        <f t="shared" si="21"/>
        <v>6.304000000000002</v>
      </c>
      <c r="Q12" s="82"/>
      <c r="R12" s="76">
        <f t="shared" ref="R12:S17" si="22">AJ12/F12</f>
        <v>0.10033444816053511</v>
      </c>
      <c r="S12" s="76">
        <f t="shared" si="22"/>
        <v>9.9830795262267347E-2</v>
      </c>
      <c r="T12" s="82"/>
      <c r="U12" s="41">
        <f t="shared" ref="U12:V17" si="23">SUM(C12/(1-$X$1))</f>
        <v>23.92</v>
      </c>
      <c r="V12" s="41">
        <f t="shared" si="23"/>
        <v>39.4</v>
      </c>
      <c r="W12" s="82"/>
      <c r="X12" s="41">
        <f t="shared" ref="X12:Y17" si="24">ROUND(C12/(1-$X$1)*1.2,2)</f>
        <v>28.7</v>
      </c>
      <c r="Y12" s="41">
        <f t="shared" si="24"/>
        <v>47.28</v>
      </c>
      <c r="AA12" s="182">
        <f>ROUNDDOWN(C12/(1-$X$1)*1.2,1)</f>
        <v>28.7</v>
      </c>
      <c r="AB12" s="182">
        <f>ROUNDDOWN(D12/(1-$X$1)*1.2,1)</f>
        <v>47.2</v>
      </c>
      <c r="AD12" s="40">
        <f t="shared" ref="AD12:AE17" si="25">AA12/1.2</f>
        <v>23.916666666666668</v>
      </c>
      <c r="AE12" s="40">
        <f t="shared" si="25"/>
        <v>39.333333333333336</v>
      </c>
      <c r="AG12" s="40">
        <f>X12-AA12</f>
        <v>0</v>
      </c>
      <c r="AH12" s="40">
        <f>Y12-AB12</f>
        <v>7.9999999999998295E-2</v>
      </c>
      <c r="AJ12" s="40">
        <f t="shared" ref="AJ12:AK17" si="26">ROUND(L12*(1-(1/(1+$AL$1))),2)</f>
        <v>1.44</v>
      </c>
      <c r="AK12" s="40">
        <f t="shared" si="26"/>
        <v>2.36</v>
      </c>
      <c r="AL12" s="40"/>
      <c r="AM12" s="180">
        <f>SUM(U12-F12)-AG12</f>
        <v>9.5680000000000014</v>
      </c>
      <c r="AN12" s="180">
        <f>SUM(V12-G12)-AH12</f>
        <v>15.680000000000003</v>
      </c>
      <c r="AP12" s="76">
        <f t="shared" ref="AP12:AQ17" si="27">(SUM(F12-C12)/C12)*$X$1</f>
        <v>9.9999999999999964E-2</v>
      </c>
      <c r="AQ12" s="76">
        <f t="shared" si="27"/>
        <v>9.999999999999995E-2</v>
      </c>
      <c r="AS12" s="76">
        <f t="shared" ref="AS12:AT17" si="28">AM12/U12</f>
        <v>0.4</v>
      </c>
      <c r="AT12" s="76">
        <f t="shared" si="28"/>
        <v>0.39796954314720823</v>
      </c>
      <c r="AV12" s="76">
        <f t="shared" ref="AV12:AW17" si="29">C12/U12</f>
        <v>0.5</v>
      </c>
      <c r="AW12" s="76">
        <f t="shared" si="29"/>
        <v>0.5</v>
      </c>
      <c r="AX12" s="42"/>
      <c r="AY12" s="42">
        <f t="shared" ref="AY12:AZ17" si="30">I12+AM12</f>
        <v>11.96</v>
      </c>
      <c r="AZ12" s="42">
        <f t="shared" si="30"/>
        <v>19.62</v>
      </c>
      <c r="BA12" s="42"/>
      <c r="BB12" s="76">
        <f t="shared" ref="BB12:BC17" si="31">AY12/(C12/$X$1)</f>
        <v>0.5</v>
      </c>
      <c r="BC12" s="76">
        <f t="shared" si="31"/>
        <v>0.49796954314720815</v>
      </c>
      <c r="BF12" s="40"/>
      <c r="BG12" s="40"/>
    </row>
    <row r="13" spans="1:62" x14ac:dyDescent="0.25">
      <c r="B13" s="25" t="s">
        <v>24</v>
      </c>
      <c r="C13" s="149">
        <f>ROUND('ST Standard from 1 Apr25'!C13*SUM(1+1*'ST Standard from 24 Feb 26'!$D$1),2)</f>
        <v>15.39</v>
      </c>
      <c r="D13" s="149">
        <f>ROUND('ST Standard from 1 Apr25'!D13*SUM(1+1*'ST Standard from 24 Feb 26'!$D$1),2)</f>
        <v>23.58</v>
      </c>
      <c r="E13" s="41"/>
      <c r="F13" s="41">
        <f t="shared" si="18"/>
        <v>18.468</v>
      </c>
      <c r="G13" s="41">
        <f t="shared" si="18"/>
        <v>28.295999999999996</v>
      </c>
      <c r="H13" s="82"/>
      <c r="I13" s="41">
        <f t="shared" si="19"/>
        <v>3.0779999999999994</v>
      </c>
      <c r="J13" s="41">
        <f t="shared" si="19"/>
        <v>4.7159999999999975</v>
      </c>
      <c r="K13" s="82"/>
      <c r="L13" s="41">
        <f t="shared" si="20"/>
        <v>20.317</v>
      </c>
      <c r="M13" s="41">
        <f t="shared" si="20"/>
        <v>31.130000000000003</v>
      </c>
      <c r="N13" s="82"/>
      <c r="O13" s="41">
        <f t="shared" si="21"/>
        <v>4.9269999999999996</v>
      </c>
      <c r="P13" s="41">
        <f t="shared" si="21"/>
        <v>7.5500000000000043</v>
      </c>
      <c r="Q13" s="82"/>
      <c r="R13" s="76">
        <f t="shared" si="22"/>
        <v>0.10017327268789257</v>
      </c>
      <c r="S13" s="76">
        <f t="shared" si="22"/>
        <v>0.10001413627367828</v>
      </c>
      <c r="T13" s="82"/>
      <c r="U13" s="41">
        <f t="shared" si="23"/>
        <v>30.78</v>
      </c>
      <c r="V13" s="41">
        <f t="shared" si="23"/>
        <v>47.16</v>
      </c>
      <c r="W13" s="82"/>
      <c r="X13" s="41">
        <f t="shared" si="24"/>
        <v>36.94</v>
      </c>
      <c r="Y13" s="41">
        <f t="shared" si="24"/>
        <v>56.59</v>
      </c>
      <c r="AA13" s="182">
        <f t="shared" ref="AA13:AB16" si="32">ROUNDDOWN(C13/(1-$X$1)*1.2,1)</f>
        <v>36.9</v>
      </c>
      <c r="AB13" s="182">
        <f t="shared" si="32"/>
        <v>56.5</v>
      </c>
      <c r="AD13" s="40">
        <f t="shared" si="25"/>
        <v>30.75</v>
      </c>
      <c r="AE13" s="40">
        <f t="shared" si="25"/>
        <v>47.083333333333336</v>
      </c>
      <c r="AG13" s="40">
        <f t="shared" ref="AG13:AH17" si="33">X13-AA13</f>
        <v>3.9999999999999147E-2</v>
      </c>
      <c r="AH13" s="40">
        <f t="shared" si="33"/>
        <v>9.0000000000003411E-2</v>
      </c>
      <c r="AJ13" s="40">
        <f t="shared" si="26"/>
        <v>1.85</v>
      </c>
      <c r="AK13" s="40">
        <f t="shared" si="26"/>
        <v>2.83</v>
      </c>
      <c r="AL13" s="40"/>
      <c r="AM13" s="180">
        <f t="shared" ref="AM13:AM17" si="34">SUM(U13-F13)-AG13</f>
        <v>12.272000000000002</v>
      </c>
      <c r="AN13" s="180">
        <f t="shared" ref="AN13:AN17" si="35">SUM(V13-G13)-AH13</f>
        <v>18.773999999999997</v>
      </c>
      <c r="AP13" s="76">
        <f t="shared" si="27"/>
        <v>9.9999999999999978E-2</v>
      </c>
      <c r="AQ13" s="76">
        <f t="shared" si="27"/>
        <v>9.999999999999995E-2</v>
      </c>
      <c r="AS13" s="76">
        <f t="shared" si="28"/>
        <v>0.3987004548408058</v>
      </c>
      <c r="AT13" s="76">
        <f t="shared" si="28"/>
        <v>0.39809160305343511</v>
      </c>
      <c r="AV13" s="76">
        <f t="shared" si="29"/>
        <v>0.5</v>
      </c>
      <c r="AW13" s="76">
        <f t="shared" si="29"/>
        <v>0.5</v>
      </c>
      <c r="AX13" s="42"/>
      <c r="AY13" s="42">
        <f t="shared" si="30"/>
        <v>15.350000000000001</v>
      </c>
      <c r="AZ13" s="42">
        <f t="shared" si="30"/>
        <v>23.489999999999995</v>
      </c>
      <c r="BA13" s="42"/>
      <c r="BB13" s="76">
        <f t="shared" si="31"/>
        <v>0.49870045484080572</v>
      </c>
      <c r="BC13" s="76">
        <f t="shared" si="31"/>
        <v>0.49809160305343503</v>
      </c>
      <c r="BF13" s="40"/>
      <c r="BG13" s="40"/>
    </row>
    <row r="14" spans="1:62" x14ac:dyDescent="0.25">
      <c r="B14" s="25" t="s">
        <v>25</v>
      </c>
      <c r="C14" s="149">
        <f>ROUND('ST Standard from 1 Apr25'!C14*SUM(1+1*'ST Standard from 24 Feb 26'!$D$1),2)</f>
        <v>18.12</v>
      </c>
      <c r="D14" s="149">
        <f>ROUND('ST Standard from 1 Apr25'!D14*SUM(1+1*'ST Standard from 24 Feb 26'!$D$1),2)</f>
        <v>26.44</v>
      </c>
      <c r="E14" s="41"/>
      <c r="F14" s="41">
        <f t="shared" si="18"/>
        <v>21.744</v>
      </c>
      <c r="G14" s="41">
        <f t="shared" si="18"/>
        <v>31.728000000000002</v>
      </c>
      <c r="H14" s="82"/>
      <c r="I14" s="41">
        <f t="shared" si="19"/>
        <v>3.6239999999999988</v>
      </c>
      <c r="J14" s="41">
        <f t="shared" si="19"/>
        <v>5.2880000000000003</v>
      </c>
      <c r="K14" s="82"/>
      <c r="L14" s="41">
        <f t="shared" si="20"/>
        <v>23.914000000000001</v>
      </c>
      <c r="M14" s="41">
        <f t="shared" si="20"/>
        <v>34.903000000000006</v>
      </c>
      <c r="N14" s="82"/>
      <c r="O14" s="41">
        <f t="shared" si="21"/>
        <v>5.7940000000000005</v>
      </c>
      <c r="P14" s="41">
        <f t="shared" si="21"/>
        <v>8.4630000000000045</v>
      </c>
      <c r="Q14" s="82"/>
      <c r="R14" s="76">
        <f t="shared" si="22"/>
        <v>9.9797645327446644E-2</v>
      </c>
      <c r="S14" s="76">
        <f t="shared" si="22"/>
        <v>9.9911749873928382E-2</v>
      </c>
      <c r="T14" s="82"/>
      <c r="U14" s="41">
        <f t="shared" si="23"/>
        <v>36.24</v>
      </c>
      <c r="V14" s="41">
        <f t="shared" si="23"/>
        <v>52.88</v>
      </c>
      <c r="W14" s="82"/>
      <c r="X14" s="41">
        <f t="shared" si="24"/>
        <v>43.49</v>
      </c>
      <c r="Y14" s="41">
        <f t="shared" si="24"/>
        <v>63.46</v>
      </c>
      <c r="AA14" s="182">
        <f t="shared" si="32"/>
        <v>43.4</v>
      </c>
      <c r="AB14" s="182">
        <f t="shared" si="32"/>
        <v>63.4</v>
      </c>
      <c r="AD14" s="40">
        <f t="shared" si="25"/>
        <v>36.166666666666664</v>
      </c>
      <c r="AE14" s="40">
        <f t="shared" si="25"/>
        <v>52.833333333333336</v>
      </c>
      <c r="AG14" s="40">
        <f t="shared" si="33"/>
        <v>9.0000000000003411E-2</v>
      </c>
      <c r="AH14" s="40">
        <f t="shared" si="33"/>
        <v>6.0000000000002274E-2</v>
      </c>
      <c r="AJ14" s="40">
        <f t="shared" si="26"/>
        <v>2.17</v>
      </c>
      <c r="AK14" s="40">
        <f t="shared" si="26"/>
        <v>3.17</v>
      </c>
      <c r="AL14" s="40"/>
      <c r="AM14" s="180">
        <f t="shared" si="34"/>
        <v>14.405999999999999</v>
      </c>
      <c r="AN14" s="180">
        <f t="shared" si="35"/>
        <v>21.091999999999999</v>
      </c>
      <c r="AP14" s="76">
        <f t="shared" si="27"/>
        <v>9.9999999999999964E-2</v>
      </c>
      <c r="AQ14" s="76">
        <f t="shared" si="27"/>
        <v>0.1</v>
      </c>
      <c r="AS14" s="76">
        <f t="shared" si="28"/>
        <v>0.39751655629139065</v>
      </c>
      <c r="AT14" s="76">
        <f t="shared" si="28"/>
        <v>0.39886535552193642</v>
      </c>
      <c r="AV14" s="76">
        <f t="shared" si="29"/>
        <v>0.5</v>
      </c>
      <c r="AW14" s="76">
        <f t="shared" si="29"/>
        <v>0.5</v>
      </c>
      <c r="AX14" s="42"/>
      <c r="AY14" s="42">
        <f t="shared" si="30"/>
        <v>18.029999999999998</v>
      </c>
      <c r="AZ14" s="42">
        <f t="shared" si="30"/>
        <v>26.38</v>
      </c>
      <c r="BA14" s="42"/>
      <c r="BB14" s="76">
        <f t="shared" si="31"/>
        <v>0.49751655629139063</v>
      </c>
      <c r="BC14" s="76">
        <f t="shared" si="31"/>
        <v>0.49886535552193639</v>
      </c>
      <c r="BF14" s="40"/>
      <c r="BG14" s="40"/>
    </row>
    <row r="15" spans="1:62" x14ac:dyDescent="0.25">
      <c r="B15" s="25" t="s">
        <v>26</v>
      </c>
      <c r="C15" s="149">
        <f>ROUND('ST Standard from 1 Apr25'!C15*SUM(1+1*'ST Standard from 24 Feb 26'!$D$1),2)</f>
        <v>23.93</v>
      </c>
      <c r="D15" s="149">
        <f>ROUND('ST Standard from 1 Apr25'!D15*SUM(1+1*'ST Standard from 24 Feb 26'!$D$1),2)</f>
        <v>33.74</v>
      </c>
      <c r="E15" s="41"/>
      <c r="F15" s="41">
        <f t="shared" si="18"/>
        <v>28.715999999999998</v>
      </c>
      <c r="G15" s="41">
        <f t="shared" si="18"/>
        <v>40.488</v>
      </c>
      <c r="H15" s="82"/>
      <c r="I15" s="41">
        <f t="shared" si="19"/>
        <v>4.7859999999999978</v>
      </c>
      <c r="J15" s="41">
        <f t="shared" si="19"/>
        <v>6.7479999999999976</v>
      </c>
      <c r="K15" s="82"/>
      <c r="L15" s="41">
        <f t="shared" si="20"/>
        <v>31.592000000000002</v>
      </c>
      <c r="M15" s="41">
        <f t="shared" si="20"/>
        <v>44.539000000000009</v>
      </c>
      <c r="N15" s="82"/>
      <c r="O15" s="41">
        <f t="shared" si="21"/>
        <v>7.6620000000000026</v>
      </c>
      <c r="P15" s="41">
        <f t="shared" si="21"/>
        <v>10.799000000000007</v>
      </c>
      <c r="Q15" s="82"/>
      <c r="R15" s="76">
        <f t="shared" si="22"/>
        <v>9.9944281933416923E-2</v>
      </c>
      <c r="S15" s="76">
        <f t="shared" si="22"/>
        <v>0.10002963841138114</v>
      </c>
      <c r="T15" s="82"/>
      <c r="U15" s="41">
        <f t="shared" si="23"/>
        <v>47.86</v>
      </c>
      <c r="V15" s="41">
        <f t="shared" si="23"/>
        <v>67.48</v>
      </c>
      <c r="W15" s="82"/>
      <c r="X15" s="41">
        <f t="shared" si="24"/>
        <v>57.43</v>
      </c>
      <c r="Y15" s="41">
        <f t="shared" si="24"/>
        <v>80.98</v>
      </c>
      <c r="AA15" s="182">
        <f t="shared" si="32"/>
        <v>57.4</v>
      </c>
      <c r="AB15" s="182">
        <f t="shared" si="32"/>
        <v>80.900000000000006</v>
      </c>
      <c r="AD15" s="40">
        <f t="shared" si="25"/>
        <v>47.833333333333336</v>
      </c>
      <c r="AE15" s="40">
        <f t="shared" si="25"/>
        <v>67.416666666666671</v>
      </c>
      <c r="AG15" s="40">
        <f t="shared" si="33"/>
        <v>3.0000000000001137E-2</v>
      </c>
      <c r="AH15" s="40">
        <f t="shared" si="33"/>
        <v>7.9999999999998295E-2</v>
      </c>
      <c r="AJ15" s="40">
        <f t="shared" si="26"/>
        <v>2.87</v>
      </c>
      <c r="AK15" s="40">
        <f t="shared" si="26"/>
        <v>4.05</v>
      </c>
      <c r="AL15" s="40"/>
      <c r="AM15" s="180">
        <f t="shared" si="34"/>
        <v>19.114000000000001</v>
      </c>
      <c r="AN15" s="180">
        <f t="shared" si="35"/>
        <v>26.912000000000006</v>
      </c>
      <c r="AP15" s="76">
        <f t="shared" si="27"/>
        <v>9.999999999999995E-2</v>
      </c>
      <c r="AQ15" s="76">
        <f t="shared" si="27"/>
        <v>9.9999999999999964E-2</v>
      </c>
      <c r="AS15" s="76">
        <f t="shared" si="28"/>
        <v>0.39937317175094028</v>
      </c>
      <c r="AT15" s="76">
        <f t="shared" si="28"/>
        <v>0.39881446354475408</v>
      </c>
      <c r="AV15" s="76">
        <f t="shared" si="29"/>
        <v>0.5</v>
      </c>
      <c r="AW15" s="76">
        <f t="shared" si="29"/>
        <v>0.5</v>
      </c>
      <c r="AX15" s="42"/>
      <c r="AY15" s="42">
        <f t="shared" si="30"/>
        <v>23.9</v>
      </c>
      <c r="AZ15" s="42">
        <f t="shared" si="30"/>
        <v>33.660000000000004</v>
      </c>
      <c r="BA15" s="42"/>
      <c r="BB15" s="76">
        <f t="shared" si="31"/>
        <v>0.4993731717509402</v>
      </c>
      <c r="BC15" s="76">
        <f t="shared" si="31"/>
        <v>0.49881446354475401</v>
      </c>
      <c r="BF15" s="40"/>
      <c r="BG15" s="40"/>
    </row>
    <row r="16" spans="1:62" x14ac:dyDescent="0.25">
      <c r="B16" s="25" t="s">
        <v>27</v>
      </c>
      <c r="C16" s="149">
        <f>ROUND('ST Standard from 1 Apr25'!C16*SUM(1+1*'ST Standard from 24 Feb 26'!$D$1),2)</f>
        <v>28.23</v>
      </c>
      <c r="D16" s="149">
        <f>ROUND('ST Standard from 1 Apr25'!D16*SUM(1+1*'ST Standard from 24 Feb 26'!$D$1),2)</f>
        <v>39.53</v>
      </c>
      <c r="E16" s="41"/>
      <c r="F16" s="41">
        <f t="shared" si="18"/>
        <v>33.875999999999998</v>
      </c>
      <c r="G16" s="41">
        <f t="shared" si="18"/>
        <v>47.436</v>
      </c>
      <c r="H16" s="82"/>
      <c r="I16" s="41">
        <f t="shared" si="19"/>
        <v>5.6459999999999972</v>
      </c>
      <c r="J16" s="41">
        <f t="shared" si="19"/>
        <v>7.9059999999999988</v>
      </c>
      <c r="K16" s="82"/>
      <c r="L16" s="41">
        <f t="shared" si="20"/>
        <v>37.268000000000008</v>
      </c>
      <c r="M16" s="41">
        <f t="shared" si="20"/>
        <v>52.184000000000005</v>
      </c>
      <c r="N16" s="82"/>
      <c r="O16" s="41">
        <f t="shared" si="21"/>
        <v>9.0380000000000074</v>
      </c>
      <c r="P16" s="41">
        <f t="shared" si="21"/>
        <v>12.654000000000003</v>
      </c>
      <c r="Q16" s="82"/>
      <c r="R16" s="76">
        <f t="shared" si="22"/>
        <v>0.10007084661707405</v>
      </c>
      <c r="S16" s="76">
        <f t="shared" si="22"/>
        <v>9.9924108272198331E-2</v>
      </c>
      <c r="T16" s="82"/>
      <c r="U16" s="41">
        <f t="shared" si="23"/>
        <v>56.46</v>
      </c>
      <c r="V16" s="41">
        <f t="shared" si="23"/>
        <v>79.06</v>
      </c>
      <c r="W16" s="82"/>
      <c r="X16" s="41">
        <f t="shared" si="24"/>
        <v>67.75</v>
      </c>
      <c r="Y16" s="41">
        <f t="shared" si="24"/>
        <v>94.87</v>
      </c>
      <c r="AA16" s="182">
        <f t="shared" si="32"/>
        <v>67.7</v>
      </c>
      <c r="AB16" s="182">
        <f t="shared" si="32"/>
        <v>94.8</v>
      </c>
      <c r="AD16" s="40">
        <f t="shared" si="25"/>
        <v>56.416666666666671</v>
      </c>
      <c r="AE16" s="40">
        <f t="shared" si="25"/>
        <v>79</v>
      </c>
      <c r="AG16" s="40">
        <f t="shared" si="33"/>
        <v>4.9999999999997158E-2</v>
      </c>
      <c r="AH16" s="40">
        <f t="shared" si="33"/>
        <v>7.000000000000739E-2</v>
      </c>
      <c r="AJ16" s="40">
        <f t="shared" si="26"/>
        <v>3.39</v>
      </c>
      <c r="AK16" s="40">
        <f t="shared" si="26"/>
        <v>4.74</v>
      </c>
      <c r="AL16" s="40"/>
      <c r="AM16" s="180">
        <f t="shared" si="34"/>
        <v>22.534000000000006</v>
      </c>
      <c r="AN16" s="180">
        <f t="shared" si="35"/>
        <v>31.553999999999995</v>
      </c>
      <c r="AP16" s="76">
        <f t="shared" si="27"/>
        <v>9.999999999999995E-2</v>
      </c>
      <c r="AQ16" s="76">
        <f t="shared" si="27"/>
        <v>9.9999999999999978E-2</v>
      </c>
      <c r="AS16" s="76">
        <f t="shared" si="28"/>
        <v>0.39911441728657465</v>
      </c>
      <c r="AT16" s="76">
        <f t="shared" si="28"/>
        <v>0.39911459650898046</v>
      </c>
      <c r="AV16" s="76">
        <f t="shared" si="29"/>
        <v>0.5</v>
      </c>
      <c r="AW16" s="76">
        <f t="shared" si="29"/>
        <v>0.5</v>
      </c>
      <c r="AX16" s="42"/>
      <c r="AY16" s="42">
        <f t="shared" si="30"/>
        <v>28.180000000000003</v>
      </c>
      <c r="AZ16" s="42">
        <f t="shared" si="30"/>
        <v>39.459999999999994</v>
      </c>
      <c r="BA16" s="42"/>
      <c r="BB16" s="76">
        <f t="shared" si="31"/>
        <v>0.49911441728657463</v>
      </c>
      <c r="BC16" s="76">
        <f t="shared" si="31"/>
        <v>0.49911459650898043</v>
      </c>
      <c r="BF16" s="40"/>
      <c r="BG16" s="40"/>
    </row>
    <row r="17" spans="2:59" x14ac:dyDescent="0.25">
      <c r="B17" s="25" t="s">
        <v>29</v>
      </c>
      <c r="C17" s="149">
        <f>ROUND('ST Standard from 1 Apr25'!C17*SUM(1+1*'ST Standard from 24 Feb 26'!$D$1),2)</f>
        <v>3.76</v>
      </c>
      <c r="D17" s="149">
        <f>ROUND('ST Standard from 1 Apr25'!D17*SUM(1+1*'ST Standard from 24 Feb 26'!$D$1),2)</f>
        <v>5.1100000000000003</v>
      </c>
      <c r="E17" s="41"/>
      <c r="F17" s="41">
        <f t="shared" si="18"/>
        <v>4.5119999999999996</v>
      </c>
      <c r="G17" s="41">
        <f t="shared" si="18"/>
        <v>6.1320000000000006</v>
      </c>
      <c r="H17" s="82"/>
      <c r="I17" s="41">
        <f t="shared" si="19"/>
        <v>0.75199999999999978</v>
      </c>
      <c r="J17" s="41">
        <f t="shared" si="19"/>
        <v>1.0220000000000002</v>
      </c>
      <c r="K17" s="82"/>
      <c r="L17" s="41">
        <f>ROUND(C17*(1+$G$1*2),2)*SUM(1+$M$1)</f>
        <v>4.9610000000000003</v>
      </c>
      <c r="M17" s="41">
        <f t="shared" si="20"/>
        <v>6.7430000000000003</v>
      </c>
      <c r="N17" s="82"/>
      <c r="O17" s="41">
        <f t="shared" si="21"/>
        <v>1.2010000000000005</v>
      </c>
      <c r="P17" s="41">
        <f t="shared" si="21"/>
        <v>1.633</v>
      </c>
      <c r="Q17" s="82"/>
      <c r="R17" s="76">
        <f>AJ17/F17</f>
        <v>9.9734042553191501E-2</v>
      </c>
      <c r="S17" s="76">
        <f t="shared" si="22"/>
        <v>9.9478147423352897E-2</v>
      </c>
      <c r="T17" s="82"/>
      <c r="U17" s="41">
        <f t="shared" si="23"/>
        <v>7.52</v>
      </c>
      <c r="V17" s="41">
        <f t="shared" si="23"/>
        <v>10.220000000000001</v>
      </c>
      <c r="W17" s="82"/>
      <c r="X17" s="41">
        <f t="shared" si="24"/>
        <v>9.02</v>
      </c>
      <c r="Y17" s="41">
        <f t="shared" si="24"/>
        <v>12.26</v>
      </c>
      <c r="AA17" s="182">
        <f>ROUNDDOWN(C17/(1-$X$1)*1.2,1)</f>
        <v>9</v>
      </c>
      <c r="AB17" s="182">
        <f>ROUNDDOWN(D17/(1-$X$1)*1.2,1)</f>
        <v>12.2</v>
      </c>
      <c r="AD17" s="40">
        <f t="shared" si="25"/>
        <v>7.5</v>
      </c>
      <c r="AE17" s="40">
        <f t="shared" si="25"/>
        <v>10.166666666666666</v>
      </c>
      <c r="AG17" s="40">
        <f t="shared" si="33"/>
        <v>1.9999999999999574E-2</v>
      </c>
      <c r="AH17" s="40">
        <f t="shared" si="33"/>
        <v>6.0000000000000497E-2</v>
      </c>
      <c r="AJ17" s="40">
        <f>ROUND(L17*(1-(1/(1+$AL$1))),2)</f>
        <v>0.45</v>
      </c>
      <c r="AK17" s="40">
        <f t="shared" si="26"/>
        <v>0.61</v>
      </c>
      <c r="AL17" s="40"/>
      <c r="AM17" s="180">
        <f t="shared" si="34"/>
        <v>2.9880000000000004</v>
      </c>
      <c r="AN17" s="180">
        <f t="shared" si="35"/>
        <v>4.0279999999999996</v>
      </c>
      <c r="AP17" s="76">
        <f t="shared" si="27"/>
        <v>9.9999999999999978E-2</v>
      </c>
      <c r="AQ17" s="76">
        <f t="shared" si="27"/>
        <v>0.10000000000000002</v>
      </c>
      <c r="AS17" s="76">
        <f t="shared" si="28"/>
        <v>0.39734042553191495</v>
      </c>
      <c r="AT17" s="76">
        <f t="shared" si="28"/>
        <v>0.39412915851272007</v>
      </c>
      <c r="AV17" s="76">
        <f t="shared" si="29"/>
        <v>0.5</v>
      </c>
      <c r="AW17" s="76">
        <f t="shared" si="29"/>
        <v>0.5</v>
      </c>
      <c r="AX17" s="42"/>
      <c r="AY17" s="42">
        <f t="shared" si="30"/>
        <v>3.74</v>
      </c>
      <c r="AZ17" s="42">
        <f t="shared" si="30"/>
        <v>5.05</v>
      </c>
      <c r="BA17" s="42"/>
      <c r="BB17" s="76">
        <f t="shared" si="31"/>
        <v>0.49734042553191493</v>
      </c>
      <c r="BC17" s="76">
        <f t="shared" si="31"/>
        <v>0.4941291585127201</v>
      </c>
      <c r="BF17" s="40"/>
      <c r="BG17" s="40"/>
    </row>
    <row r="18" spans="2:59" x14ac:dyDescent="0.25">
      <c r="B18" s="25"/>
      <c r="C18" s="41"/>
      <c r="D18" s="41"/>
      <c r="E18" s="41"/>
      <c r="F18" s="41"/>
      <c r="G18" s="41"/>
      <c r="H18" s="82"/>
      <c r="I18" s="82"/>
      <c r="J18" s="82"/>
      <c r="K18" s="82"/>
      <c r="L18" s="41"/>
      <c r="M18" s="41"/>
      <c r="N18" s="4"/>
      <c r="O18" s="4"/>
      <c r="P18" s="4"/>
      <c r="Q18" s="4"/>
      <c r="R18" s="78"/>
      <c r="T18" s="4"/>
      <c r="U18" s="4"/>
      <c r="V18" s="4"/>
      <c r="W18" s="4"/>
      <c r="AJ18" s="40"/>
      <c r="AK18" s="40"/>
      <c r="AL18" s="40"/>
      <c r="AS18" s="103"/>
      <c r="AT18" s="103"/>
      <c r="AV18" s="40"/>
      <c r="AW18" s="40"/>
      <c r="BB18" s="77"/>
      <c r="BC18" s="77"/>
    </row>
    <row r="19" spans="2:59" x14ac:dyDescent="0.25">
      <c r="B19" s="32" t="s">
        <v>30</v>
      </c>
      <c r="C19" s="41"/>
      <c r="D19" s="41"/>
      <c r="E19" s="41"/>
      <c r="F19" s="41"/>
      <c r="G19" s="41"/>
      <c r="H19" s="82"/>
      <c r="I19" s="82"/>
      <c r="J19" s="82"/>
      <c r="K19" s="82"/>
      <c r="L19" s="41"/>
      <c r="M19" s="41"/>
      <c r="N19" s="4"/>
      <c r="O19" s="4"/>
      <c r="P19" s="4"/>
      <c r="Q19" s="4"/>
      <c r="R19" s="78"/>
      <c r="T19" s="4"/>
      <c r="U19" s="4"/>
      <c r="V19" s="4"/>
      <c r="W19" s="4"/>
      <c r="AJ19" s="40"/>
      <c r="AK19" s="40"/>
      <c r="AL19" s="40"/>
      <c r="AS19" s="103"/>
      <c r="AT19" s="103"/>
      <c r="AV19" s="40"/>
      <c r="AW19" s="40"/>
      <c r="BB19" s="77"/>
      <c r="BC19" s="77"/>
    </row>
    <row r="20" spans="2:59" x14ac:dyDescent="0.25">
      <c r="B20" s="25" t="s">
        <v>31</v>
      </c>
      <c r="C20" s="149">
        <f>ROUND('ST Standard from 1 Apr25'!C20*SUM(1+1*'ST Standard from 24 Feb 26'!$D$1),2)</f>
        <v>25.18</v>
      </c>
      <c r="D20" s="149">
        <f>ROUND('ST Standard from 1 Apr25'!D20*SUM(1+1*'ST Standard from 24 Feb 26'!$D$1),2)</f>
        <v>31.23</v>
      </c>
      <c r="E20" s="41"/>
      <c r="F20" s="41">
        <f t="shared" ref="F20:G25" si="36">C20*SUM(1+$G$1/$X$1)</f>
        <v>30.215999999999998</v>
      </c>
      <c r="G20" s="41">
        <f t="shared" si="36"/>
        <v>37.475999999999999</v>
      </c>
      <c r="H20" s="82"/>
      <c r="I20" s="41">
        <f t="shared" ref="I20:J25" si="37">F20-C20</f>
        <v>5.0359999999999978</v>
      </c>
      <c r="J20" s="41">
        <f t="shared" si="37"/>
        <v>6.2459999999999987</v>
      </c>
      <c r="K20" s="82"/>
      <c r="L20" s="41">
        <f t="shared" ref="L20:M25" si="38">ROUND(C20*(1+$G$1*2),2)*SUM(1+$M$1)</f>
        <v>33.242000000000004</v>
      </c>
      <c r="M20" s="41">
        <f t="shared" si="38"/>
        <v>41.228000000000002</v>
      </c>
      <c r="N20" s="82"/>
      <c r="O20" s="41">
        <f t="shared" ref="O20:P25" si="39">L20-C20</f>
        <v>8.0620000000000047</v>
      </c>
      <c r="P20" s="41">
        <f t="shared" si="39"/>
        <v>9.9980000000000011</v>
      </c>
      <c r="Q20" s="82"/>
      <c r="R20" s="76">
        <f t="shared" ref="R20:S25" si="40">AJ20/F20</f>
        <v>9.9947047921630935E-2</v>
      </c>
      <c r="S20" s="76">
        <f t="shared" si="40"/>
        <v>0.10006404098623119</v>
      </c>
      <c r="T20" s="82"/>
      <c r="U20" s="41">
        <f t="shared" ref="U20:V25" si="41">SUM(C20/(1-$X$1))</f>
        <v>50.36</v>
      </c>
      <c r="V20" s="41">
        <f t="shared" si="41"/>
        <v>62.46</v>
      </c>
      <c r="W20" s="82"/>
      <c r="X20" s="41">
        <f t="shared" ref="X20:Y25" si="42">ROUND(C20/(1-$X$1)*1.2,2)</f>
        <v>60.43</v>
      </c>
      <c r="Y20" s="41">
        <f t="shared" si="42"/>
        <v>74.95</v>
      </c>
      <c r="AA20" s="182">
        <f>ROUNDDOWN(C20/(1-$X$1)*1.2,1)</f>
        <v>60.4</v>
      </c>
      <c r="AB20" s="182">
        <f>ROUNDDOWN(D20/(1-$X$1)*1.2,1)</f>
        <v>74.900000000000006</v>
      </c>
      <c r="AD20" s="40">
        <f t="shared" ref="AD20:AE25" si="43">AA20/1.2</f>
        <v>50.333333333333336</v>
      </c>
      <c r="AE20" s="40">
        <f t="shared" si="43"/>
        <v>62.416666666666671</v>
      </c>
      <c r="AG20" s="40">
        <f>X20-AA20</f>
        <v>3.0000000000001137E-2</v>
      </c>
      <c r="AH20" s="40">
        <f>Y20-AB20</f>
        <v>4.9999999999997158E-2</v>
      </c>
      <c r="AJ20" s="40">
        <f t="shared" ref="AJ20:AK25" si="44">ROUND(L20*(1-(1/(1+$AL$1))),2)</f>
        <v>3.02</v>
      </c>
      <c r="AK20" s="40">
        <f t="shared" si="44"/>
        <v>3.75</v>
      </c>
      <c r="AL20" s="40"/>
      <c r="AM20" s="180">
        <f>SUM(U20-F20)-AG20</f>
        <v>20.114000000000001</v>
      </c>
      <c r="AN20" s="180">
        <f>SUM(V20-G20)-AH20</f>
        <v>24.934000000000005</v>
      </c>
      <c r="AP20" s="76">
        <f t="shared" ref="AP20:AQ25" si="45">(SUM(F20-C20)/C20)*$X$1</f>
        <v>9.9999999999999964E-2</v>
      </c>
      <c r="AQ20" s="76">
        <f t="shared" si="45"/>
        <v>9.9999999999999978E-2</v>
      </c>
      <c r="AS20" s="76">
        <f t="shared" ref="AS20:AT25" si="46">AM20/U20</f>
        <v>0.39940428911834791</v>
      </c>
      <c r="AT20" s="76">
        <f t="shared" si="46"/>
        <v>0.39919948767211022</v>
      </c>
      <c r="AV20" s="76">
        <f t="shared" ref="AV20:AW25" si="47">C20/U20</f>
        <v>0.5</v>
      </c>
      <c r="AW20" s="76">
        <f t="shared" si="47"/>
        <v>0.5</v>
      </c>
      <c r="AX20" s="42"/>
      <c r="AY20" s="42">
        <f t="shared" ref="AY20:AZ25" si="48">I20+AM20</f>
        <v>25.15</v>
      </c>
      <c r="AZ20" s="42">
        <f t="shared" si="48"/>
        <v>31.180000000000003</v>
      </c>
      <c r="BA20" s="42"/>
      <c r="BB20" s="76">
        <f t="shared" ref="BB20:BC25" si="49">AY20/(C20/$X$1)</f>
        <v>0.49940428911834789</v>
      </c>
      <c r="BC20" s="76">
        <f t="shared" si="49"/>
        <v>0.4991994876721102</v>
      </c>
      <c r="BF20" s="40"/>
      <c r="BG20" s="40"/>
    </row>
    <row r="21" spans="2:59" x14ac:dyDescent="0.25">
      <c r="B21" s="25" t="s">
        <v>24</v>
      </c>
      <c r="C21" s="149">
        <f>ROUND('ST Standard from 1 Apr25'!C21*SUM(1+1*'ST Standard from 24 Feb 26'!$D$1),2)</f>
        <v>30.32</v>
      </c>
      <c r="D21" s="149">
        <f>ROUND('ST Standard from 1 Apr25'!D21*SUM(1+1*'ST Standard from 24 Feb 26'!$D$1),2)</f>
        <v>34.79</v>
      </c>
      <c r="E21" s="41"/>
      <c r="F21" s="41">
        <f t="shared" si="36"/>
        <v>36.384</v>
      </c>
      <c r="G21" s="41">
        <f t="shared" si="36"/>
        <v>41.747999999999998</v>
      </c>
      <c r="H21" s="82"/>
      <c r="I21" s="41">
        <f t="shared" si="37"/>
        <v>6.0640000000000001</v>
      </c>
      <c r="J21" s="41">
        <f t="shared" si="37"/>
        <v>6.9579999999999984</v>
      </c>
      <c r="K21" s="82"/>
      <c r="L21" s="41">
        <f t="shared" si="38"/>
        <v>40.018000000000008</v>
      </c>
      <c r="M21" s="41">
        <f t="shared" si="38"/>
        <v>45.925000000000004</v>
      </c>
      <c r="N21" s="82"/>
      <c r="O21" s="41">
        <f t="shared" si="39"/>
        <v>9.6980000000000075</v>
      </c>
      <c r="P21" s="41">
        <f t="shared" si="39"/>
        <v>11.135000000000005</v>
      </c>
      <c r="Q21" s="82"/>
      <c r="R21" s="76">
        <f t="shared" si="40"/>
        <v>0.10004397537379069</v>
      </c>
      <c r="S21" s="76">
        <f t="shared" si="40"/>
        <v>0.10012455686499952</v>
      </c>
      <c r="T21" s="82"/>
      <c r="U21" s="41">
        <f t="shared" si="41"/>
        <v>60.64</v>
      </c>
      <c r="V21" s="41">
        <f t="shared" si="41"/>
        <v>69.58</v>
      </c>
      <c r="W21" s="82"/>
      <c r="X21" s="41">
        <f t="shared" si="42"/>
        <v>72.77</v>
      </c>
      <c r="Y21" s="41">
        <f t="shared" si="42"/>
        <v>83.5</v>
      </c>
      <c r="AA21" s="182">
        <f t="shared" ref="AA21:AB24" si="50">ROUNDDOWN(C21/(1-$X$1)*1.2,1)</f>
        <v>72.7</v>
      </c>
      <c r="AB21" s="182">
        <f t="shared" si="50"/>
        <v>83.4</v>
      </c>
      <c r="AD21" s="40">
        <f t="shared" si="43"/>
        <v>60.583333333333336</v>
      </c>
      <c r="AE21" s="40">
        <f t="shared" si="43"/>
        <v>69.500000000000014</v>
      </c>
      <c r="AG21" s="40">
        <f t="shared" ref="AG21:AH25" si="51">X21-AA21</f>
        <v>6.9999999999993179E-2</v>
      </c>
      <c r="AH21" s="40">
        <f t="shared" si="51"/>
        <v>9.9999999999994316E-2</v>
      </c>
      <c r="AJ21" s="40">
        <f t="shared" si="44"/>
        <v>3.64</v>
      </c>
      <c r="AK21" s="40">
        <f t="shared" si="44"/>
        <v>4.18</v>
      </c>
      <c r="AL21" s="40"/>
      <c r="AM21" s="180">
        <f t="shared" ref="AM21:AM25" si="52">SUM(U21-F21)-AG21</f>
        <v>24.186000000000007</v>
      </c>
      <c r="AN21" s="180">
        <f t="shared" ref="AN21:AN25" si="53">SUM(V21-G21)-AH21</f>
        <v>27.732000000000006</v>
      </c>
      <c r="AP21" s="76">
        <f t="shared" si="45"/>
        <v>0.1</v>
      </c>
      <c r="AQ21" s="76">
        <f t="shared" si="45"/>
        <v>9.9999999999999978E-2</v>
      </c>
      <c r="AS21" s="76">
        <f t="shared" si="46"/>
        <v>0.39884564643799486</v>
      </c>
      <c r="AT21" s="76">
        <f t="shared" si="46"/>
        <v>0.39856280540385181</v>
      </c>
      <c r="AV21" s="76">
        <f t="shared" si="47"/>
        <v>0.5</v>
      </c>
      <c r="AW21" s="76">
        <f t="shared" si="47"/>
        <v>0.5</v>
      </c>
      <c r="AX21" s="42"/>
      <c r="AY21" s="42">
        <f t="shared" si="48"/>
        <v>30.250000000000007</v>
      </c>
      <c r="AZ21" s="42">
        <f t="shared" si="48"/>
        <v>34.690000000000005</v>
      </c>
      <c r="BA21" s="42"/>
      <c r="BB21" s="76">
        <f t="shared" si="49"/>
        <v>0.49884564643799484</v>
      </c>
      <c r="BC21" s="76">
        <f t="shared" si="49"/>
        <v>0.49856280540385178</v>
      </c>
      <c r="BF21" s="40"/>
      <c r="BG21" s="40"/>
    </row>
    <row r="22" spans="2:59" x14ac:dyDescent="0.25">
      <c r="B22" s="25" t="s">
        <v>25</v>
      </c>
      <c r="C22" s="149">
        <f>ROUND('ST Standard from 1 Apr25'!C22*SUM(1+1*'ST Standard from 24 Feb 26'!$D$1),2)</f>
        <v>37.01</v>
      </c>
      <c r="D22" s="149">
        <f>ROUND('ST Standard from 1 Apr25'!D22*SUM(1+1*'ST Standard from 24 Feb 26'!$D$1),2)</f>
        <v>42.78</v>
      </c>
      <c r="E22" s="41"/>
      <c r="F22" s="41">
        <f t="shared" si="36"/>
        <v>44.411999999999999</v>
      </c>
      <c r="G22" s="41">
        <f t="shared" si="36"/>
        <v>51.335999999999999</v>
      </c>
      <c r="H22" s="82"/>
      <c r="I22" s="41">
        <f t="shared" si="37"/>
        <v>7.402000000000001</v>
      </c>
      <c r="J22" s="41">
        <f t="shared" si="37"/>
        <v>8.5559999999999974</v>
      </c>
      <c r="K22" s="82"/>
      <c r="L22" s="41">
        <f t="shared" si="38"/>
        <v>48.850999999999999</v>
      </c>
      <c r="M22" s="41">
        <f t="shared" si="38"/>
        <v>56.474000000000011</v>
      </c>
      <c r="N22" s="82"/>
      <c r="O22" s="41">
        <f t="shared" si="39"/>
        <v>11.841000000000001</v>
      </c>
      <c r="P22" s="41">
        <f t="shared" si="39"/>
        <v>13.69400000000001</v>
      </c>
      <c r="Q22" s="82"/>
      <c r="R22" s="76">
        <f t="shared" si="40"/>
        <v>9.9972980275601198E-2</v>
      </c>
      <c r="S22" s="76">
        <f t="shared" si="40"/>
        <v>9.9929873772791028E-2</v>
      </c>
      <c r="T22" s="82"/>
      <c r="U22" s="41">
        <f t="shared" si="41"/>
        <v>74.02</v>
      </c>
      <c r="V22" s="41">
        <f t="shared" si="41"/>
        <v>85.56</v>
      </c>
      <c r="W22" s="82"/>
      <c r="X22" s="41">
        <f t="shared" si="42"/>
        <v>88.82</v>
      </c>
      <c r="Y22" s="41">
        <f t="shared" si="42"/>
        <v>102.67</v>
      </c>
      <c r="AA22" s="182">
        <f t="shared" si="50"/>
        <v>88.8</v>
      </c>
      <c r="AB22" s="182">
        <f t="shared" si="50"/>
        <v>102.6</v>
      </c>
      <c r="AD22" s="40">
        <f t="shared" si="43"/>
        <v>74</v>
      </c>
      <c r="AE22" s="40">
        <f t="shared" si="43"/>
        <v>85.5</v>
      </c>
      <c r="AG22" s="40">
        <f t="shared" si="51"/>
        <v>1.9999999999996021E-2</v>
      </c>
      <c r="AH22" s="40">
        <f t="shared" si="51"/>
        <v>7.000000000000739E-2</v>
      </c>
      <c r="AJ22" s="40">
        <f t="shared" si="44"/>
        <v>4.4400000000000004</v>
      </c>
      <c r="AK22" s="40">
        <f t="shared" si="44"/>
        <v>5.13</v>
      </c>
      <c r="AL22" s="40"/>
      <c r="AM22" s="180">
        <f t="shared" si="52"/>
        <v>29.588000000000001</v>
      </c>
      <c r="AN22" s="180">
        <f t="shared" si="53"/>
        <v>34.153999999999996</v>
      </c>
      <c r="AP22" s="76">
        <f t="shared" si="45"/>
        <v>0.10000000000000002</v>
      </c>
      <c r="AQ22" s="76">
        <f t="shared" si="45"/>
        <v>9.9999999999999964E-2</v>
      </c>
      <c r="AS22" s="76">
        <f t="shared" si="46"/>
        <v>0.39972980275601194</v>
      </c>
      <c r="AT22" s="76">
        <f t="shared" si="46"/>
        <v>0.3991818606825619</v>
      </c>
      <c r="AV22" s="76">
        <f t="shared" si="47"/>
        <v>0.5</v>
      </c>
      <c r="AW22" s="76">
        <f t="shared" si="47"/>
        <v>0.5</v>
      </c>
      <c r="AX22" s="42"/>
      <c r="AY22" s="42">
        <f t="shared" si="48"/>
        <v>36.99</v>
      </c>
      <c r="AZ22" s="42">
        <f t="shared" si="48"/>
        <v>42.709999999999994</v>
      </c>
      <c r="BA22" s="42"/>
      <c r="BB22" s="76">
        <f t="shared" si="49"/>
        <v>0.49972980275601192</v>
      </c>
      <c r="BC22" s="76">
        <f t="shared" si="49"/>
        <v>0.49918186068256187</v>
      </c>
      <c r="BF22" s="40"/>
      <c r="BG22" s="40"/>
    </row>
    <row r="23" spans="2:59" x14ac:dyDescent="0.25">
      <c r="B23" s="25" t="s">
        <v>26</v>
      </c>
      <c r="C23" s="149">
        <f>ROUND('ST Standard from 1 Apr25'!C23*SUM(1+1*'ST Standard from 24 Feb 26'!$D$1),2)</f>
        <v>45.71</v>
      </c>
      <c r="D23" s="149">
        <f>ROUND('ST Standard from 1 Apr25'!D23*SUM(1+1*'ST Standard from 24 Feb 26'!$D$1),2)</f>
        <v>52.77</v>
      </c>
      <c r="E23" s="41"/>
      <c r="F23" s="41">
        <f t="shared" si="36"/>
        <v>54.851999999999997</v>
      </c>
      <c r="G23" s="41">
        <f t="shared" si="36"/>
        <v>63.323999999999998</v>
      </c>
      <c r="H23" s="82"/>
      <c r="I23" s="41">
        <f t="shared" si="37"/>
        <v>9.1419999999999959</v>
      </c>
      <c r="J23" s="41">
        <f t="shared" si="37"/>
        <v>10.553999999999995</v>
      </c>
      <c r="K23" s="82"/>
      <c r="L23" s="41">
        <f t="shared" si="38"/>
        <v>60.335000000000008</v>
      </c>
      <c r="M23" s="41">
        <f t="shared" si="38"/>
        <v>69.652000000000001</v>
      </c>
      <c r="N23" s="82"/>
      <c r="O23" s="41">
        <f t="shared" si="39"/>
        <v>14.625000000000007</v>
      </c>
      <c r="P23" s="41">
        <f t="shared" si="39"/>
        <v>16.881999999999998</v>
      </c>
      <c r="Q23" s="82"/>
      <c r="R23" s="76">
        <f t="shared" si="40"/>
        <v>0.10008750820389413</v>
      </c>
      <c r="S23" s="76">
        <f t="shared" si="40"/>
        <v>9.9962099677847263E-2</v>
      </c>
      <c r="T23" s="82"/>
      <c r="U23" s="41">
        <f t="shared" si="41"/>
        <v>91.42</v>
      </c>
      <c r="V23" s="41">
        <f t="shared" si="41"/>
        <v>105.54</v>
      </c>
      <c r="W23" s="82"/>
      <c r="X23" s="41">
        <f t="shared" si="42"/>
        <v>109.7</v>
      </c>
      <c r="Y23" s="41">
        <f t="shared" si="42"/>
        <v>126.65</v>
      </c>
      <c r="AA23" s="182">
        <f t="shared" si="50"/>
        <v>109.7</v>
      </c>
      <c r="AB23" s="182">
        <f t="shared" si="50"/>
        <v>126.6</v>
      </c>
      <c r="AD23" s="40">
        <f t="shared" si="43"/>
        <v>91.416666666666671</v>
      </c>
      <c r="AE23" s="40">
        <f t="shared" si="43"/>
        <v>105.5</v>
      </c>
      <c r="AG23" s="40">
        <f t="shared" si="51"/>
        <v>0</v>
      </c>
      <c r="AH23" s="40">
        <f t="shared" si="51"/>
        <v>5.0000000000011369E-2</v>
      </c>
      <c r="AJ23" s="40">
        <f t="shared" si="44"/>
        <v>5.49</v>
      </c>
      <c r="AK23" s="40">
        <f t="shared" si="44"/>
        <v>6.33</v>
      </c>
      <c r="AL23" s="40"/>
      <c r="AM23" s="180">
        <f t="shared" si="52"/>
        <v>36.568000000000005</v>
      </c>
      <c r="AN23" s="180">
        <f t="shared" si="53"/>
        <v>42.165999999999997</v>
      </c>
      <c r="AP23" s="76">
        <f t="shared" si="45"/>
        <v>9.999999999999995E-2</v>
      </c>
      <c r="AQ23" s="76">
        <f t="shared" si="45"/>
        <v>9.999999999999995E-2</v>
      </c>
      <c r="AS23" s="76">
        <f t="shared" si="46"/>
        <v>0.4</v>
      </c>
      <c r="AT23" s="76">
        <f t="shared" si="46"/>
        <v>0.39952624597309072</v>
      </c>
      <c r="AV23" s="76">
        <f t="shared" si="47"/>
        <v>0.5</v>
      </c>
      <c r="AW23" s="76">
        <f t="shared" si="47"/>
        <v>0.5</v>
      </c>
      <c r="AX23" s="42"/>
      <c r="AY23" s="42">
        <f t="shared" si="48"/>
        <v>45.71</v>
      </c>
      <c r="AZ23" s="42">
        <f t="shared" si="48"/>
        <v>52.719999999999992</v>
      </c>
      <c r="BA23" s="42"/>
      <c r="BB23" s="76">
        <f t="shared" si="49"/>
        <v>0.5</v>
      </c>
      <c r="BC23" s="76">
        <f t="shared" si="49"/>
        <v>0.49952624597309064</v>
      </c>
      <c r="BF23" s="40"/>
      <c r="BG23" s="40"/>
    </row>
    <row r="24" spans="2:59" x14ac:dyDescent="0.25">
      <c r="B24" s="25" t="s">
        <v>27</v>
      </c>
      <c r="C24" s="149">
        <f>ROUND('ST Standard from 1 Apr25'!C24*SUM(1+1*'ST Standard from 24 Feb 26'!$D$1),2)</f>
        <v>51.37</v>
      </c>
      <c r="D24" s="149">
        <f>ROUND('ST Standard from 1 Apr25'!D24*SUM(1+1*'ST Standard from 24 Feb 26'!$D$1),2)</f>
        <v>58.25</v>
      </c>
      <c r="E24" s="41"/>
      <c r="F24" s="41">
        <f t="shared" si="36"/>
        <v>61.643999999999991</v>
      </c>
      <c r="G24" s="41">
        <f t="shared" si="36"/>
        <v>69.899999999999991</v>
      </c>
      <c r="H24" s="82"/>
      <c r="I24" s="41">
        <f t="shared" si="37"/>
        <v>10.273999999999994</v>
      </c>
      <c r="J24" s="41">
        <f t="shared" si="37"/>
        <v>11.649999999999991</v>
      </c>
      <c r="K24" s="82"/>
      <c r="L24" s="41">
        <f t="shared" si="38"/>
        <v>67.804000000000002</v>
      </c>
      <c r="M24" s="41">
        <f t="shared" si="38"/>
        <v>76.890000000000015</v>
      </c>
      <c r="N24" s="82"/>
      <c r="O24" s="41">
        <f t="shared" si="39"/>
        <v>16.434000000000005</v>
      </c>
      <c r="P24" s="41">
        <f t="shared" si="39"/>
        <v>18.640000000000015</v>
      </c>
      <c r="Q24" s="82"/>
      <c r="R24" s="76">
        <f t="shared" si="40"/>
        <v>9.9928622412562465E-2</v>
      </c>
      <c r="S24" s="76">
        <f t="shared" si="40"/>
        <v>0.10000000000000002</v>
      </c>
      <c r="T24" s="82"/>
      <c r="U24" s="41">
        <f t="shared" si="41"/>
        <v>102.74</v>
      </c>
      <c r="V24" s="41">
        <f t="shared" si="41"/>
        <v>116.5</v>
      </c>
      <c r="W24" s="82"/>
      <c r="X24" s="41">
        <f t="shared" si="42"/>
        <v>123.29</v>
      </c>
      <c r="Y24" s="41">
        <f t="shared" si="42"/>
        <v>139.80000000000001</v>
      </c>
      <c r="AA24" s="182">
        <f t="shared" si="50"/>
        <v>123.2</v>
      </c>
      <c r="AB24" s="182">
        <f t="shared" si="50"/>
        <v>139.80000000000001</v>
      </c>
      <c r="AD24" s="40">
        <f t="shared" si="43"/>
        <v>102.66666666666667</v>
      </c>
      <c r="AE24" s="40">
        <f t="shared" si="43"/>
        <v>116.50000000000001</v>
      </c>
      <c r="AG24" s="40">
        <f t="shared" si="51"/>
        <v>9.0000000000003411E-2</v>
      </c>
      <c r="AH24" s="40">
        <f t="shared" si="51"/>
        <v>0</v>
      </c>
      <c r="AJ24" s="40">
        <f t="shared" si="44"/>
        <v>6.16</v>
      </c>
      <c r="AK24" s="40">
        <f t="shared" si="44"/>
        <v>6.99</v>
      </c>
      <c r="AL24" s="40"/>
      <c r="AM24" s="180">
        <f t="shared" si="52"/>
        <v>41.006</v>
      </c>
      <c r="AN24" s="180">
        <f t="shared" si="53"/>
        <v>46.600000000000009</v>
      </c>
      <c r="AP24" s="76">
        <f t="shared" si="45"/>
        <v>9.999999999999995E-2</v>
      </c>
      <c r="AQ24" s="76">
        <f t="shared" si="45"/>
        <v>9.9999999999999922E-2</v>
      </c>
      <c r="AS24" s="76">
        <f t="shared" si="46"/>
        <v>0.39912400233599377</v>
      </c>
      <c r="AT24" s="76">
        <f t="shared" si="46"/>
        <v>0.40000000000000008</v>
      </c>
      <c r="AV24" s="76">
        <f t="shared" si="47"/>
        <v>0.5</v>
      </c>
      <c r="AW24" s="76">
        <f t="shared" si="47"/>
        <v>0.5</v>
      </c>
      <c r="AX24" s="42"/>
      <c r="AY24" s="42">
        <f t="shared" si="48"/>
        <v>51.279999999999994</v>
      </c>
      <c r="AZ24" s="42">
        <f t="shared" si="48"/>
        <v>58.25</v>
      </c>
      <c r="BA24" s="42"/>
      <c r="BB24" s="76">
        <f t="shared" si="49"/>
        <v>0.49912400233599374</v>
      </c>
      <c r="BC24" s="76">
        <f t="shared" si="49"/>
        <v>0.5</v>
      </c>
      <c r="BF24" s="40"/>
      <c r="BG24" s="40"/>
    </row>
    <row r="25" spans="2:59" x14ac:dyDescent="0.25">
      <c r="B25" s="25" t="s">
        <v>29</v>
      </c>
      <c r="C25" s="149">
        <f>ROUND('ST Standard from 1 Apr25'!C25*SUM(1+1*'ST Standard from 24 Feb 26'!$D$1),2)</f>
        <v>7.26</v>
      </c>
      <c r="D25" s="149">
        <f>ROUND('ST Standard from 1 Apr25'!D25*SUM(1+1*'ST Standard from 24 Feb 26'!$D$1),2)</f>
        <v>7.94</v>
      </c>
      <c r="E25" s="41"/>
      <c r="F25" s="41">
        <f t="shared" si="36"/>
        <v>8.7119999999999997</v>
      </c>
      <c r="G25" s="41">
        <f t="shared" si="36"/>
        <v>9.5280000000000005</v>
      </c>
      <c r="H25" s="82"/>
      <c r="I25" s="41">
        <f t="shared" si="37"/>
        <v>1.452</v>
      </c>
      <c r="J25" s="41">
        <f t="shared" si="37"/>
        <v>1.5880000000000001</v>
      </c>
      <c r="K25" s="82"/>
      <c r="L25" s="41">
        <f t="shared" si="38"/>
        <v>9.5810000000000013</v>
      </c>
      <c r="M25" s="41">
        <f t="shared" si="38"/>
        <v>10.483000000000001</v>
      </c>
      <c r="N25" s="82"/>
      <c r="O25" s="41">
        <f t="shared" si="39"/>
        <v>2.3210000000000015</v>
      </c>
      <c r="P25" s="41">
        <f t="shared" si="39"/>
        <v>2.5430000000000001</v>
      </c>
      <c r="Q25" s="82"/>
      <c r="R25" s="76">
        <f t="shared" si="40"/>
        <v>9.986225895316804E-2</v>
      </c>
      <c r="S25" s="76">
        <f t="shared" si="40"/>
        <v>9.9706129303106628E-2</v>
      </c>
      <c r="T25" s="82"/>
      <c r="U25" s="41">
        <f t="shared" si="41"/>
        <v>14.52</v>
      </c>
      <c r="V25" s="41">
        <f t="shared" si="41"/>
        <v>15.88</v>
      </c>
      <c r="W25" s="82"/>
      <c r="X25" s="41">
        <f t="shared" si="42"/>
        <v>17.420000000000002</v>
      </c>
      <c r="Y25" s="41">
        <f t="shared" si="42"/>
        <v>19.059999999999999</v>
      </c>
      <c r="AA25" s="182">
        <f>ROUNDDOWN(C25/(1-$X$1)*1.2,1)</f>
        <v>17.399999999999999</v>
      </c>
      <c r="AB25" s="182">
        <f>ROUNDDOWN(D25/(1-$X$1)*1.2,1)</f>
        <v>19</v>
      </c>
      <c r="AD25" s="40">
        <f t="shared" si="43"/>
        <v>14.5</v>
      </c>
      <c r="AE25" s="40">
        <f t="shared" si="43"/>
        <v>15.833333333333334</v>
      </c>
      <c r="AG25" s="40">
        <f t="shared" si="51"/>
        <v>2.0000000000003126E-2</v>
      </c>
      <c r="AH25" s="40">
        <f t="shared" si="51"/>
        <v>5.9999999999998721E-2</v>
      </c>
      <c r="AJ25" s="40">
        <f t="shared" si="44"/>
        <v>0.87</v>
      </c>
      <c r="AK25" s="40">
        <f t="shared" si="44"/>
        <v>0.95</v>
      </c>
      <c r="AL25" s="40"/>
      <c r="AM25" s="180">
        <f t="shared" si="52"/>
        <v>5.7879999999999967</v>
      </c>
      <c r="AN25" s="180">
        <f t="shared" si="53"/>
        <v>6.2920000000000016</v>
      </c>
      <c r="AP25" s="76">
        <f t="shared" si="45"/>
        <v>0.1</v>
      </c>
      <c r="AQ25" s="76">
        <f t="shared" si="45"/>
        <v>0.1</v>
      </c>
      <c r="AS25" s="76">
        <f t="shared" si="46"/>
        <v>0.39862258953168023</v>
      </c>
      <c r="AT25" s="76">
        <f t="shared" si="46"/>
        <v>0.39622166246851392</v>
      </c>
      <c r="AV25" s="76">
        <f t="shared" si="47"/>
        <v>0.5</v>
      </c>
      <c r="AW25" s="76">
        <f t="shared" si="47"/>
        <v>0.5</v>
      </c>
      <c r="AX25" s="42"/>
      <c r="AY25" s="42">
        <f t="shared" si="48"/>
        <v>7.2399999999999967</v>
      </c>
      <c r="AZ25" s="42">
        <f t="shared" si="48"/>
        <v>7.8800000000000017</v>
      </c>
      <c r="BA25" s="42"/>
      <c r="BB25" s="76">
        <f t="shared" si="49"/>
        <v>0.4986225895316802</v>
      </c>
      <c r="BC25" s="76">
        <f t="shared" si="49"/>
        <v>0.49622166246851396</v>
      </c>
      <c r="BF25" s="40"/>
      <c r="BG25" s="40"/>
    </row>
    <row r="26" spans="2:59" x14ac:dyDescent="0.25">
      <c r="B26" s="25"/>
      <c r="C26" s="41"/>
      <c r="D26" s="41"/>
      <c r="E26" s="41"/>
      <c r="F26" s="41"/>
      <c r="G26" s="41"/>
      <c r="H26" s="82"/>
      <c r="I26" s="82"/>
      <c r="J26" s="82"/>
      <c r="K26" s="82"/>
      <c r="L26" s="41"/>
      <c r="M26" s="41"/>
      <c r="N26" s="4"/>
      <c r="O26" s="4"/>
      <c r="P26" s="4"/>
      <c r="Q26" s="4"/>
      <c r="R26" s="78"/>
      <c r="T26" s="4"/>
      <c r="U26" s="4"/>
      <c r="V26" s="4"/>
      <c r="W26" s="4"/>
      <c r="AJ26" s="40"/>
      <c r="AK26" s="40"/>
      <c r="AL26" s="40"/>
      <c r="AM26" s="102"/>
      <c r="AN26" s="102"/>
      <c r="AS26" s="76"/>
      <c r="AT26" s="76"/>
      <c r="AV26" s="40"/>
      <c r="AW26" s="40"/>
      <c r="BB26" s="77"/>
      <c r="BC26" s="77"/>
    </row>
    <row r="27" spans="2:59" x14ac:dyDescent="0.25">
      <c r="B27" s="32" t="s">
        <v>32</v>
      </c>
      <c r="C27" s="41"/>
      <c r="D27" s="41"/>
      <c r="E27" s="41"/>
      <c r="F27" s="41"/>
      <c r="G27" s="41"/>
      <c r="H27" s="82"/>
      <c r="I27" s="82"/>
      <c r="J27" s="82"/>
      <c r="K27" s="82"/>
      <c r="L27" s="41"/>
      <c r="M27" s="41"/>
      <c r="N27" s="4"/>
      <c r="O27" s="4"/>
      <c r="P27" s="4"/>
      <c r="Q27" s="4"/>
      <c r="R27" s="78"/>
      <c r="T27" s="4"/>
      <c r="U27" s="4"/>
      <c r="V27" s="4"/>
      <c r="W27" s="4"/>
      <c r="AJ27" s="40"/>
      <c r="AK27" s="40"/>
      <c r="AL27" s="40"/>
      <c r="AS27" s="103"/>
      <c r="AT27" s="103"/>
      <c r="AV27" s="40"/>
      <c r="AW27" s="40"/>
      <c r="BB27" s="77"/>
      <c r="BC27" s="77"/>
    </row>
    <row r="28" spans="2:59" x14ac:dyDescent="0.25">
      <c r="B28" s="25" t="s">
        <v>23</v>
      </c>
      <c r="C28" s="149">
        <f>ROUND('ST Standard from 1 Apr25'!C28*SUM(1+1*'ST Standard from 24 Feb 26'!$D$1),2)</f>
        <v>28.98</v>
      </c>
      <c r="D28" s="149">
        <f>ROUND('ST Standard from 1 Apr25'!D28*SUM(1+1*'ST Standard from 24 Feb 26'!$D$1),2)</f>
        <v>34.53</v>
      </c>
      <c r="E28" s="41"/>
      <c r="F28" s="41">
        <f t="shared" ref="F28:G33" si="54">C28*SUM(1+$G$1/$X$1)</f>
        <v>34.775999999999996</v>
      </c>
      <c r="G28" s="41">
        <f t="shared" si="54"/>
        <v>41.436</v>
      </c>
      <c r="H28" s="82"/>
      <c r="I28" s="41">
        <f t="shared" ref="I28:J33" si="55">F28-C28</f>
        <v>5.7959999999999958</v>
      </c>
      <c r="J28" s="41">
        <f t="shared" si="55"/>
        <v>6.9059999999999988</v>
      </c>
      <c r="K28" s="82"/>
      <c r="L28" s="41">
        <f t="shared" ref="L28:M33" si="56">ROUND(C28*(1+$G$1*2),2)*SUM(1+$M$1)</f>
        <v>38.258000000000003</v>
      </c>
      <c r="M28" s="41">
        <f t="shared" si="56"/>
        <v>45.584000000000003</v>
      </c>
      <c r="N28" s="82"/>
      <c r="O28" s="41">
        <f t="shared" ref="O28:P32" si="57">L28-C28</f>
        <v>9.2780000000000022</v>
      </c>
      <c r="P28" s="41">
        <f t="shared" si="57"/>
        <v>11.054000000000002</v>
      </c>
      <c r="Q28" s="82"/>
      <c r="R28" s="76">
        <f t="shared" ref="R28:S33" si="58">AJ28/F28</f>
        <v>0.10006901311249139</v>
      </c>
      <c r="S28" s="76">
        <f t="shared" si="58"/>
        <v>9.9913119026933089E-2</v>
      </c>
      <c r="T28" s="82"/>
      <c r="U28" s="41">
        <f t="shared" ref="U28:V33" si="59">SUM(C28/(1-$X$1))</f>
        <v>57.96</v>
      </c>
      <c r="V28" s="41">
        <f t="shared" si="59"/>
        <v>69.06</v>
      </c>
      <c r="W28" s="82"/>
      <c r="X28" s="41">
        <f t="shared" ref="X28:Y33" si="60">ROUND(C28/(1-$X$1)*1.2,2)</f>
        <v>69.55</v>
      </c>
      <c r="Y28" s="41">
        <f t="shared" si="60"/>
        <v>82.87</v>
      </c>
      <c r="AA28" s="182">
        <f>ROUNDDOWN(C28/(1-$X$1)*1.2,1)</f>
        <v>69.5</v>
      </c>
      <c r="AB28" s="182">
        <f>ROUNDDOWN(D28/(1-$X$1)*1.2,1)</f>
        <v>82.8</v>
      </c>
      <c r="AD28" s="40">
        <f t="shared" ref="AD28:AE33" si="61">AA28/1.2</f>
        <v>57.916666666666671</v>
      </c>
      <c r="AE28" s="40">
        <f t="shared" si="61"/>
        <v>69</v>
      </c>
      <c r="AG28" s="40">
        <f>X28-AA28</f>
        <v>4.9999999999997158E-2</v>
      </c>
      <c r="AH28" s="40">
        <f>Y28-AB28</f>
        <v>7.000000000000739E-2</v>
      </c>
      <c r="AJ28" s="40">
        <f t="shared" ref="AJ28:AK33" si="62">ROUND(L28*(1-(1/(1+$AL$1))),2)</f>
        <v>3.48</v>
      </c>
      <c r="AK28" s="40">
        <f t="shared" si="62"/>
        <v>4.1399999999999997</v>
      </c>
      <c r="AL28" s="40"/>
      <c r="AM28" s="180">
        <f>SUM(U28-F28)-AG28</f>
        <v>23.134000000000007</v>
      </c>
      <c r="AN28" s="180">
        <f>SUM(V28-G28)-AH28</f>
        <v>27.553999999999995</v>
      </c>
      <c r="AP28" s="76">
        <f t="shared" ref="AP28:AQ33" si="63">(SUM(F28-C28)/C28)*$X$1</f>
        <v>9.9999999999999922E-2</v>
      </c>
      <c r="AQ28" s="76">
        <f t="shared" si="63"/>
        <v>9.9999999999999978E-2</v>
      </c>
      <c r="AS28" s="76">
        <f t="shared" ref="AS28:AT33" si="64">AM28/U28</f>
        <v>0.39913733609385793</v>
      </c>
      <c r="AT28" s="76">
        <f t="shared" si="64"/>
        <v>0.39898638864755276</v>
      </c>
      <c r="AV28" s="76">
        <f t="shared" ref="AV28:AW33" si="65">C28/U28</f>
        <v>0.5</v>
      </c>
      <c r="AW28" s="76">
        <f t="shared" si="65"/>
        <v>0.5</v>
      </c>
      <c r="AX28" s="42"/>
      <c r="AY28" s="42">
        <f t="shared" ref="AY28:AZ33" si="66">I28+AM28</f>
        <v>28.930000000000003</v>
      </c>
      <c r="AZ28" s="42">
        <f t="shared" si="66"/>
        <v>34.459999999999994</v>
      </c>
      <c r="BA28" s="42"/>
      <c r="BB28" s="76">
        <f t="shared" ref="BB28:BC33" si="67">AY28/(C28/$X$1)</f>
        <v>0.49913733609385791</v>
      </c>
      <c r="BC28" s="76">
        <f t="shared" si="67"/>
        <v>0.49898638864755274</v>
      </c>
      <c r="BF28" s="40"/>
      <c r="BG28" s="40"/>
    </row>
    <row r="29" spans="2:59" x14ac:dyDescent="0.25">
      <c r="B29" s="25" t="s">
        <v>24</v>
      </c>
      <c r="C29" s="149">
        <f>ROUND('ST Standard from 1 Apr25'!C29*SUM(1+1*'ST Standard from 24 Feb 26'!$D$1),2)</f>
        <v>35.07</v>
      </c>
      <c r="D29" s="149">
        <f>ROUND('ST Standard from 1 Apr25'!D29*SUM(1+1*'ST Standard from 24 Feb 26'!$D$1),2)</f>
        <v>41.53</v>
      </c>
      <c r="E29" s="41"/>
      <c r="F29" s="41">
        <f t="shared" si="54"/>
        <v>42.083999999999996</v>
      </c>
      <c r="G29" s="41">
        <f t="shared" si="54"/>
        <v>49.835999999999999</v>
      </c>
      <c r="H29" s="82"/>
      <c r="I29" s="41">
        <f t="shared" si="55"/>
        <v>7.0139999999999958</v>
      </c>
      <c r="J29" s="41">
        <f t="shared" si="55"/>
        <v>8.3059999999999974</v>
      </c>
      <c r="K29" s="82"/>
      <c r="L29" s="41">
        <f t="shared" si="56"/>
        <v>46.288000000000004</v>
      </c>
      <c r="M29" s="41">
        <f t="shared" si="56"/>
        <v>54.824000000000005</v>
      </c>
      <c r="N29" s="82"/>
      <c r="O29" s="41">
        <f t="shared" si="57"/>
        <v>11.218000000000004</v>
      </c>
      <c r="P29" s="41">
        <f t="shared" si="57"/>
        <v>13.294000000000004</v>
      </c>
      <c r="Q29" s="82"/>
      <c r="R29" s="76">
        <f t="shared" si="58"/>
        <v>0.10003801919969585</v>
      </c>
      <c r="S29" s="76">
        <f t="shared" si="58"/>
        <v>9.9927763062846148E-2</v>
      </c>
      <c r="T29" s="82"/>
      <c r="U29" s="41">
        <f t="shared" si="59"/>
        <v>70.14</v>
      </c>
      <c r="V29" s="41">
        <f t="shared" si="59"/>
        <v>83.06</v>
      </c>
      <c r="W29" s="82"/>
      <c r="X29" s="41">
        <f t="shared" si="60"/>
        <v>84.17</v>
      </c>
      <c r="Y29" s="41">
        <f t="shared" si="60"/>
        <v>99.67</v>
      </c>
      <c r="AA29" s="182">
        <f t="shared" ref="AA29:AB32" si="68">ROUNDDOWN(C29/(1-$X$1)*1.2,1)</f>
        <v>84.1</v>
      </c>
      <c r="AB29" s="182">
        <f t="shared" si="68"/>
        <v>99.6</v>
      </c>
      <c r="AD29" s="40">
        <f t="shared" si="61"/>
        <v>70.083333333333329</v>
      </c>
      <c r="AE29" s="40">
        <f t="shared" si="61"/>
        <v>83</v>
      </c>
      <c r="AG29" s="40">
        <f t="shared" ref="AG29:AH33" si="69">X29-AA29</f>
        <v>7.000000000000739E-2</v>
      </c>
      <c r="AH29" s="40">
        <f t="shared" si="69"/>
        <v>7.000000000000739E-2</v>
      </c>
      <c r="AJ29" s="40">
        <f t="shared" si="62"/>
        <v>4.21</v>
      </c>
      <c r="AK29" s="40">
        <f t="shared" si="62"/>
        <v>4.9800000000000004</v>
      </c>
      <c r="AL29" s="40"/>
      <c r="AM29" s="180">
        <f t="shared" ref="AM29:AM33" si="70">SUM(U29-F29)-AG29</f>
        <v>27.985999999999997</v>
      </c>
      <c r="AN29" s="180">
        <f t="shared" ref="AN29:AN33" si="71">SUM(V29-G29)-AH29</f>
        <v>33.153999999999996</v>
      </c>
      <c r="AP29" s="76">
        <f t="shared" si="63"/>
        <v>9.9999999999999936E-2</v>
      </c>
      <c r="AQ29" s="76">
        <f t="shared" si="63"/>
        <v>9.9999999999999964E-2</v>
      </c>
      <c r="AS29" s="76">
        <f t="shared" si="64"/>
        <v>0.39900199600798397</v>
      </c>
      <c r="AT29" s="76">
        <f t="shared" si="64"/>
        <v>0.39915723573320488</v>
      </c>
      <c r="AV29" s="76">
        <f t="shared" si="65"/>
        <v>0.5</v>
      </c>
      <c r="AW29" s="76">
        <f t="shared" si="65"/>
        <v>0.5</v>
      </c>
      <c r="AX29" s="42"/>
      <c r="AY29" s="42">
        <f t="shared" si="66"/>
        <v>34.999999999999993</v>
      </c>
      <c r="AZ29" s="42">
        <f t="shared" si="66"/>
        <v>41.459999999999994</v>
      </c>
      <c r="BA29" s="42"/>
      <c r="BB29" s="76">
        <f t="shared" si="67"/>
        <v>0.49900199600798395</v>
      </c>
      <c r="BC29" s="76">
        <f t="shared" si="67"/>
        <v>0.49915723573320481</v>
      </c>
      <c r="BF29" s="40"/>
      <c r="BG29" s="40"/>
    </row>
    <row r="30" spans="2:59" x14ac:dyDescent="0.25">
      <c r="B30" s="25" t="s">
        <v>25</v>
      </c>
      <c r="C30" s="149">
        <f>ROUND('ST Standard from 1 Apr25'!C30*SUM(1+1*'ST Standard from 24 Feb 26'!$D$1),2)</f>
        <v>43.28</v>
      </c>
      <c r="D30" s="149">
        <f>ROUND('ST Standard from 1 Apr25'!D30*SUM(1+1*'ST Standard from 24 Feb 26'!$D$1),2)</f>
        <v>48.1</v>
      </c>
      <c r="E30" s="41"/>
      <c r="F30" s="41">
        <f t="shared" si="54"/>
        <v>51.936</v>
      </c>
      <c r="G30" s="41">
        <f t="shared" si="54"/>
        <v>57.72</v>
      </c>
      <c r="H30" s="82"/>
      <c r="I30" s="41">
        <f t="shared" si="55"/>
        <v>8.6559999999999988</v>
      </c>
      <c r="J30" s="41">
        <f t="shared" si="55"/>
        <v>9.6199999999999974</v>
      </c>
      <c r="K30" s="82"/>
      <c r="L30" s="41">
        <f t="shared" si="56"/>
        <v>57.134</v>
      </c>
      <c r="M30" s="41">
        <f t="shared" si="56"/>
        <v>63.492000000000004</v>
      </c>
      <c r="N30" s="82"/>
      <c r="O30" s="41">
        <f t="shared" si="57"/>
        <v>13.853999999999999</v>
      </c>
      <c r="P30" s="41">
        <f t="shared" si="57"/>
        <v>15.392000000000003</v>
      </c>
      <c r="Q30" s="82"/>
      <c r="R30" s="76">
        <f t="shared" si="58"/>
        <v>9.9930683918669133E-2</v>
      </c>
      <c r="S30" s="76">
        <f t="shared" si="58"/>
        <v>9.9965349965349962E-2</v>
      </c>
      <c r="T30" s="82"/>
      <c r="U30" s="41">
        <f t="shared" si="59"/>
        <v>86.56</v>
      </c>
      <c r="V30" s="41">
        <f t="shared" si="59"/>
        <v>96.2</v>
      </c>
      <c r="W30" s="82"/>
      <c r="X30" s="41">
        <f t="shared" si="60"/>
        <v>103.87</v>
      </c>
      <c r="Y30" s="41">
        <f t="shared" si="60"/>
        <v>115.44</v>
      </c>
      <c r="AA30" s="182">
        <f t="shared" si="68"/>
        <v>103.8</v>
      </c>
      <c r="AB30" s="182">
        <f t="shared" si="68"/>
        <v>115.4</v>
      </c>
      <c r="AD30" s="40">
        <f t="shared" si="61"/>
        <v>86.5</v>
      </c>
      <c r="AE30" s="40">
        <f t="shared" si="61"/>
        <v>96.166666666666671</v>
      </c>
      <c r="AG30" s="40">
        <f t="shared" si="69"/>
        <v>7.000000000000739E-2</v>
      </c>
      <c r="AH30" s="40">
        <f t="shared" si="69"/>
        <v>3.9999999999992042E-2</v>
      </c>
      <c r="AJ30" s="40">
        <f t="shared" si="62"/>
        <v>5.19</v>
      </c>
      <c r="AK30" s="40">
        <f t="shared" si="62"/>
        <v>5.77</v>
      </c>
      <c r="AL30" s="40"/>
      <c r="AM30" s="180">
        <f t="shared" si="70"/>
        <v>34.553999999999995</v>
      </c>
      <c r="AN30" s="180">
        <f t="shared" si="71"/>
        <v>38.440000000000012</v>
      </c>
      <c r="AP30" s="76">
        <f t="shared" si="63"/>
        <v>9.9999999999999978E-2</v>
      </c>
      <c r="AQ30" s="76">
        <f t="shared" si="63"/>
        <v>9.9999999999999964E-2</v>
      </c>
      <c r="AS30" s="76">
        <f t="shared" si="64"/>
        <v>0.39919131238447314</v>
      </c>
      <c r="AT30" s="76">
        <f t="shared" si="64"/>
        <v>0.39958419958419972</v>
      </c>
      <c r="AV30" s="76">
        <f t="shared" si="65"/>
        <v>0.5</v>
      </c>
      <c r="AW30" s="76">
        <f t="shared" si="65"/>
        <v>0.5</v>
      </c>
      <c r="AX30" s="42"/>
      <c r="AY30" s="42">
        <f t="shared" si="66"/>
        <v>43.209999999999994</v>
      </c>
      <c r="AZ30" s="42">
        <f t="shared" si="66"/>
        <v>48.060000000000009</v>
      </c>
      <c r="BA30" s="42"/>
      <c r="BB30" s="76">
        <f t="shared" si="67"/>
        <v>0.49919131238447312</v>
      </c>
      <c r="BC30" s="76">
        <f t="shared" si="67"/>
        <v>0.49958419958419964</v>
      </c>
      <c r="BF30" s="40"/>
      <c r="BG30" s="40"/>
    </row>
    <row r="31" spans="2:59" x14ac:dyDescent="0.25">
      <c r="B31" s="25" t="s">
        <v>33</v>
      </c>
      <c r="C31" s="149">
        <f>ROUND('ST Standard from 1 Apr25'!C31*SUM(1+1*'ST Standard from 24 Feb 26'!$D$1),2)</f>
        <v>54.24</v>
      </c>
      <c r="D31" s="149">
        <f>ROUND('ST Standard from 1 Apr25'!D31*SUM(1+1*'ST Standard from 24 Feb 26'!$D$1),2)</f>
        <v>62.36</v>
      </c>
      <c r="E31" s="41"/>
      <c r="F31" s="41">
        <f t="shared" si="54"/>
        <v>65.087999999999994</v>
      </c>
      <c r="G31" s="41">
        <f t="shared" si="54"/>
        <v>74.831999999999994</v>
      </c>
      <c r="H31" s="82"/>
      <c r="I31" s="41">
        <f t="shared" si="55"/>
        <v>10.847999999999992</v>
      </c>
      <c r="J31" s="41">
        <f t="shared" si="55"/>
        <v>12.471999999999994</v>
      </c>
      <c r="K31" s="82"/>
      <c r="L31" s="41">
        <f t="shared" si="56"/>
        <v>71.599000000000004</v>
      </c>
      <c r="M31" s="41">
        <f t="shared" si="56"/>
        <v>82.313000000000002</v>
      </c>
      <c r="N31" s="82"/>
      <c r="O31" s="41">
        <f t="shared" si="57"/>
        <v>17.359000000000002</v>
      </c>
      <c r="P31" s="41">
        <f t="shared" si="57"/>
        <v>19.953000000000003</v>
      </c>
      <c r="Q31" s="82"/>
      <c r="R31" s="76">
        <f t="shared" si="58"/>
        <v>0.1000184365781711</v>
      </c>
      <c r="S31" s="76">
        <f t="shared" si="58"/>
        <v>9.9957237545435118E-2</v>
      </c>
      <c r="T31" s="82"/>
      <c r="U31" s="41">
        <f t="shared" si="59"/>
        <v>108.48</v>
      </c>
      <c r="V31" s="41">
        <f t="shared" si="59"/>
        <v>124.72</v>
      </c>
      <c r="W31" s="82"/>
      <c r="X31" s="41">
        <f t="shared" si="60"/>
        <v>130.18</v>
      </c>
      <c r="Y31" s="41">
        <f t="shared" si="60"/>
        <v>149.66</v>
      </c>
      <c r="AA31" s="182">
        <f t="shared" si="68"/>
        <v>130.1</v>
      </c>
      <c r="AB31" s="182">
        <f t="shared" si="68"/>
        <v>149.6</v>
      </c>
      <c r="AD31" s="40">
        <f t="shared" si="61"/>
        <v>108.41666666666667</v>
      </c>
      <c r="AE31" s="40">
        <f t="shared" si="61"/>
        <v>124.66666666666667</v>
      </c>
      <c r="AG31" s="40">
        <f t="shared" si="69"/>
        <v>8.0000000000012506E-2</v>
      </c>
      <c r="AH31" s="40">
        <f t="shared" si="69"/>
        <v>6.0000000000002274E-2</v>
      </c>
      <c r="AJ31" s="40">
        <f t="shared" si="62"/>
        <v>6.51</v>
      </c>
      <c r="AK31" s="40">
        <f t="shared" si="62"/>
        <v>7.48</v>
      </c>
      <c r="AL31" s="40"/>
      <c r="AM31" s="180">
        <f t="shared" si="70"/>
        <v>43.311999999999998</v>
      </c>
      <c r="AN31" s="180">
        <f t="shared" si="71"/>
        <v>49.828000000000003</v>
      </c>
      <c r="AP31" s="76">
        <f t="shared" si="63"/>
        <v>9.9999999999999922E-2</v>
      </c>
      <c r="AQ31" s="76">
        <f t="shared" si="63"/>
        <v>9.999999999999995E-2</v>
      </c>
      <c r="AS31" s="76">
        <f t="shared" si="64"/>
        <v>0.39926253687315633</v>
      </c>
      <c r="AT31" s="76">
        <f t="shared" si="64"/>
        <v>0.399518922386145</v>
      </c>
      <c r="AV31" s="76">
        <f t="shared" si="65"/>
        <v>0.5</v>
      </c>
      <c r="AW31" s="76">
        <f t="shared" si="65"/>
        <v>0.5</v>
      </c>
      <c r="AX31" s="42"/>
      <c r="AY31" s="42">
        <f t="shared" si="66"/>
        <v>54.159999999999989</v>
      </c>
      <c r="AZ31" s="42">
        <f t="shared" si="66"/>
        <v>62.3</v>
      </c>
      <c r="BA31" s="42"/>
      <c r="BB31" s="76">
        <f t="shared" si="67"/>
        <v>0.49926253687315625</v>
      </c>
      <c r="BC31" s="76">
        <f t="shared" si="67"/>
        <v>0.49951892238614493</v>
      </c>
      <c r="BF31" s="40"/>
      <c r="BG31" s="40"/>
    </row>
    <row r="32" spans="2:59" x14ac:dyDescent="0.25">
      <c r="B32" s="25" t="s">
        <v>27</v>
      </c>
      <c r="C32" s="149">
        <f>ROUND('ST Standard from 1 Apr25'!C32*SUM(1+1*'ST Standard from 24 Feb 26'!$D$1),2)</f>
        <v>59.82</v>
      </c>
      <c r="D32" s="149">
        <f>ROUND('ST Standard from 1 Apr25'!D32*SUM(1+1*'ST Standard from 24 Feb 26'!$D$1),2)</f>
        <v>67.5</v>
      </c>
      <c r="E32" s="41"/>
      <c r="F32" s="41">
        <f t="shared" si="54"/>
        <v>71.783999999999992</v>
      </c>
      <c r="G32" s="41">
        <f t="shared" si="54"/>
        <v>81</v>
      </c>
      <c r="H32" s="82"/>
      <c r="I32" s="41">
        <f t="shared" si="55"/>
        <v>11.963999999999992</v>
      </c>
      <c r="J32" s="41">
        <f t="shared" si="55"/>
        <v>13.5</v>
      </c>
      <c r="K32" s="82"/>
      <c r="L32" s="41">
        <f t="shared" si="56"/>
        <v>78.958000000000013</v>
      </c>
      <c r="M32" s="41">
        <f t="shared" si="56"/>
        <v>89.100000000000009</v>
      </c>
      <c r="N32" s="82"/>
      <c r="O32" s="41">
        <f t="shared" si="57"/>
        <v>19.138000000000012</v>
      </c>
      <c r="P32" s="41">
        <f t="shared" si="57"/>
        <v>21.600000000000009</v>
      </c>
      <c r="Q32" s="82"/>
      <c r="R32" s="76">
        <f t="shared" si="58"/>
        <v>0.10002228908949071</v>
      </c>
      <c r="S32" s="76">
        <f t="shared" si="58"/>
        <v>9.9999999999999992E-2</v>
      </c>
      <c r="T32" s="82"/>
      <c r="U32" s="41">
        <f t="shared" si="59"/>
        <v>119.64</v>
      </c>
      <c r="V32" s="41">
        <f t="shared" si="59"/>
        <v>135</v>
      </c>
      <c r="W32" s="82"/>
      <c r="X32" s="41">
        <f t="shared" si="60"/>
        <v>143.57</v>
      </c>
      <c r="Y32" s="41">
        <f t="shared" si="60"/>
        <v>162</v>
      </c>
      <c r="AA32" s="182">
        <f t="shared" si="68"/>
        <v>143.5</v>
      </c>
      <c r="AB32" s="182">
        <f t="shared" si="68"/>
        <v>162</v>
      </c>
      <c r="AD32" s="40">
        <f t="shared" si="61"/>
        <v>119.58333333333334</v>
      </c>
      <c r="AE32" s="40">
        <f t="shared" si="61"/>
        <v>135</v>
      </c>
      <c r="AG32" s="40">
        <f t="shared" si="69"/>
        <v>6.9999999999993179E-2</v>
      </c>
      <c r="AH32" s="40">
        <f t="shared" si="69"/>
        <v>0</v>
      </c>
      <c r="AJ32" s="40">
        <f t="shared" si="62"/>
        <v>7.18</v>
      </c>
      <c r="AK32" s="40">
        <f t="shared" si="62"/>
        <v>8.1</v>
      </c>
      <c r="AL32" s="40"/>
      <c r="AM32" s="180">
        <f t="shared" si="70"/>
        <v>47.786000000000016</v>
      </c>
      <c r="AN32" s="180">
        <f t="shared" si="71"/>
        <v>54</v>
      </c>
      <c r="AP32" s="76">
        <f t="shared" si="63"/>
        <v>9.9999999999999922E-2</v>
      </c>
      <c r="AQ32" s="76">
        <f t="shared" si="63"/>
        <v>0.1</v>
      </c>
      <c r="AS32" s="76">
        <f t="shared" si="64"/>
        <v>0.39941491140086938</v>
      </c>
      <c r="AT32" s="76">
        <f t="shared" si="64"/>
        <v>0.4</v>
      </c>
      <c r="AV32" s="76">
        <f t="shared" si="65"/>
        <v>0.5</v>
      </c>
      <c r="AW32" s="76">
        <f t="shared" si="65"/>
        <v>0.5</v>
      </c>
      <c r="AX32" s="42"/>
      <c r="AY32" s="42">
        <f t="shared" si="66"/>
        <v>59.750000000000007</v>
      </c>
      <c r="AZ32" s="42">
        <f t="shared" si="66"/>
        <v>67.5</v>
      </c>
      <c r="BA32" s="42"/>
      <c r="BB32" s="76">
        <f t="shared" si="67"/>
        <v>0.49941491140086935</v>
      </c>
      <c r="BC32" s="76">
        <f t="shared" si="67"/>
        <v>0.5</v>
      </c>
      <c r="BF32" s="40"/>
      <c r="BG32" s="40"/>
    </row>
    <row r="33" spans="1:59" x14ac:dyDescent="0.25">
      <c r="B33" s="25" t="s">
        <v>29</v>
      </c>
      <c r="C33" s="149">
        <f>ROUND('ST Standard from 1 Apr25'!C33*SUM(1+1*'ST Standard from 24 Feb 26'!$D$1),2)</f>
        <v>9.8000000000000007</v>
      </c>
      <c r="D33" s="149">
        <f>ROUND('ST Standard from 1 Apr25'!D33*SUM(1+1*'ST Standard from 24 Feb 26'!$D$1),2)</f>
        <v>10.61</v>
      </c>
      <c r="E33" s="41"/>
      <c r="F33" s="41">
        <f t="shared" si="54"/>
        <v>11.76</v>
      </c>
      <c r="G33" s="41">
        <f t="shared" si="54"/>
        <v>12.731999999999999</v>
      </c>
      <c r="H33" s="82"/>
      <c r="I33" s="41">
        <f t="shared" si="55"/>
        <v>1.9599999999999991</v>
      </c>
      <c r="J33" s="41">
        <f t="shared" si="55"/>
        <v>2.1219999999999999</v>
      </c>
      <c r="K33" s="82"/>
      <c r="L33" s="41">
        <f t="shared" si="56"/>
        <v>12.936</v>
      </c>
      <c r="M33" s="41">
        <f t="shared" si="56"/>
        <v>14.003000000000002</v>
      </c>
      <c r="N33" s="82"/>
      <c r="O33" s="41">
        <f>L33-C33</f>
        <v>3.1359999999999992</v>
      </c>
      <c r="P33" s="41">
        <f>M33-D33</f>
        <v>3.3930000000000025</v>
      </c>
      <c r="Q33" s="82"/>
      <c r="R33" s="76">
        <f t="shared" si="58"/>
        <v>0.10034013605442177</v>
      </c>
      <c r="S33" s="76">
        <f t="shared" si="58"/>
        <v>9.9748664781652535E-2</v>
      </c>
      <c r="T33" s="82"/>
      <c r="U33" s="41">
        <f t="shared" si="59"/>
        <v>19.600000000000001</v>
      </c>
      <c r="V33" s="41">
        <f t="shared" si="59"/>
        <v>21.22</v>
      </c>
      <c r="W33" s="82"/>
      <c r="X33" s="41">
        <f t="shared" si="60"/>
        <v>23.52</v>
      </c>
      <c r="Y33" s="41">
        <f t="shared" si="60"/>
        <v>25.46</v>
      </c>
      <c r="AA33" s="182">
        <f>ROUNDDOWN(C33/(1-$X$1)*1.2,1)</f>
        <v>23.5</v>
      </c>
      <c r="AB33" s="182">
        <f>ROUNDDOWN(D33/(1-$X$1)*1.2,1)</f>
        <v>25.4</v>
      </c>
      <c r="AD33" s="40">
        <f t="shared" si="61"/>
        <v>19.583333333333336</v>
      </c>
      <c r="AE33" s="40">
        <f t="shared" si="61"/>
        <v>21.166666666666668</v>
      </c>
      <c r="AG33" s="40">
        <f t="shared" si="69"/>
        <v>1.9999999999999574E-2</v>
      </c>
      <c r="AH33" s="40">
        <f t="shared" si="69"/>
        <v>6.0000000000002274E-2</v>
      </c>
      <c r="AJ33" s="40">
        <f t="shared" si="62"/>
        <v>1.18</v>
      </c>
      <c r="AK33" s="40">
        <f t="shared" si="62"/>
        <v>1.27</v>
      </c>
      <c r="AL33" s="40"/>
      <c r="AM33" s="180">
        <f t="shared" si="70"/>
        <v>7.8200000000000021</v>
      </c>
      <c r="AN33" s="180">
        <f t="shared" si="71"/>
        <v>8.4279999999999973</v>
      </c>
      <c r="AP33" s="76">
        <f t="shared" si="63"/>
        <v>9.999999999999995E-2</v>
      </c>
      <c r="AQ33" s="76">
        <f t="shared" si="63"/>
        <v>0.1</v>
      </c>
      <c r="AS33" s="76">
        <f t="shared" si="64"/>
        <v>0.39897959183673476</v>
      </c>
      <c r="AT33" s="76">
        <f t="shared" si="64"/>
        <v>0.39717247879359086</v>
      </c>
      <c r="AV33" s="76">
        <f t="shared" si="65"/>
        <v>0.5</v>
      </c>
      <c r="AW33" s="76">
        <f t="shared" si="65"/>
        <v>0.5</v>
      </c>
      <c r="AX33" s="42"/>
      <c r="AY33" s="42">
        <f t="shared" si="66"/>
        <v>9.7800000000000011</v>
      </c>
      <c r="AZ33" s="42">
        <f t="shared" si="66"/>
        <v>10.549999999999997</v>
      </c>
      <c r="BA33" s="42"/>
      <c r="BB33" s="76">
        <f t="shared" si="67"/>
        <v>0.49897959183673474</v>
      </c>
      <c r="BC33" s="76">
        <f t="shared" si="67"/>
        <v>0.49717247879359083</v>
      </c>
      <c r="BF33" s="40"/>
      <c r="BG33" s="40"/>
    </row>
    <row r="34" spans="1:59" x14ac:dyDescent="0.25">
      <c r="C34" s="39"/>
      <c r="D34" s="39"/>
      <c r="E34" s="39"/>
      <c r="F34" s="39"/>
      <c r="L34" s="41"/>
      <c r="M34" s="39"/>
      <c r="U34" s="41"/>
      <c r="V34" s="41"/>
      <c r="W34" s="39"/>
      <c r="AK34" s="76"/>
      <c r="AL34" s="76"/>
      <c r="AM34" s="76"/>
    </row>
    <row r="35" spans="1:59" x14ac:dyDescent="0.25">
      <c r="A35" s="4" t="s">
        <v>34</v>
      </c>
      <c r="C35" s="40"/>
      <c r="D35" s="40"/>
      <c r="E35" s="40"/>
      <c r="F35" s="40"/>
      <c r="L35" s="40"/>
      <c r="M35" s="40"/>
      <c r="AK35" s="76"/>
      <c r="AL35" s="76"/>
      <c r="AM35" s="76"/>
    </row>
    <row r="36" spans="1:59" x14ac:dyDescent="0.25">
      <c r="C36" s="40"/>
      <c r="D36" s="40"/>
      <c r="E36" s="40"/>
      <c r="F36" s="40"/>
      <c r="M36" s="40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K36" s="76"/>
      <c r="AL36" s="76"/>
      <c r="AM36" s="76"/>
    </row>
    <row r="37" spans="1:59" x14ac:dyDescent="0.25">
      <c r="A37" s="25" t="s">
        <v>35</v>
      </c>
      <c r="B37" s="1" t="s">
        <v>36</v>
      </c>
      <c r="D37" s="40"/>
      <c r="E37" s="40"/>
      <c r="F37" s="40"/>
      <c r="G37" s="40"/>
      <c r="H37" s="40"/>
      <c r="I37" s="40"/>
      <c r="J37" s="40"/>
      <c r="K37" s="40"/>
      <c r="N37" s="40"/>
      <c r="O37" s="40"/>
      <c r="P37" s="40"/>
      <c r="Q37" s="40"/>
      <c r="R37" s="40"/>
      <c r="S37" s="40"/>
      <c r="T37" s="40"/>
      <c r="AK37" s="76"/>
      <c r="AL37" s="76"/>
      <c r="AM37" s="76"/>
    </row>
    <row r="38" spans="1:59" x14ac:dyDescent="0.25">
      <c r="A38" s="25" t="s">
        <v>37</v>
      </c>
      <c r="B38" s="1" t="s">
        <v>38</v>
      </c>
      <c r="D38" s="40"/>
      <c r="E38" s="40"/>
      <c r="F38" s="40"/>
      <c r="N38" s="40"/>
      <c r="O38" s="40"/>
      <c r="P38" s="40"/>
      <c r="Q38" s="40"/>
      <c r="R38" s="40"/>
      <c r="S38" s="40"/>
      <c r="T38" s="40"/>
      <c r="AK38" s="76"/>
      <c r="AL38" s="76"/>
      <c r="AM38" s="76"/>
    </row>
    <row r="39" spans="1:59" x14ac:dyDescent="0.25">
      <c r="A39" s="25" t="s">
        <v>39</v>
      </c>
      <c r="B39" s="1" t="s">
        <v>40</v>
      </c>
      <c r="D39" s="40"/>
      <c r="E39" s="40"/>
      <c r="F39" s="40"/>
      <c r="AK39" s="76"/>
      <c r="AL39" s="76"/>
      <c r="AM39" s="76"/>
    </row>
    <row r="40" spans="1:59" x14ac:dyDescent="0.25">
      <c r="A40" s="25" t="s">
        <v>41</v>
      </c>
      <c r="B40" s="1" t="s">
        <v>42</v>
      </c>
      <c r="D40" s="40"/>
      <c r="E40" s="40"/>
      <c r="F40" s="40"/>
      <c r="AK40" s="76"/>
      <c r="AL40" s="76"/>
      <c r="AM40" s="76"/>
    </row>
    <row r="41" spans="1:59" x14ac:dyDescent="0.25">
      <c r="A41" s="25" t="s">
        <v>43</v>
      </c>
      <c r="B41" s="1" t="s">
        <v>44</v>
      </c>
      <c r="D41" s="40"/>
      <c r="E41" s="40"/>
      <c r="F41" s="40"/>
      <c r="AK41" s="76"/>
      <c r="AL41" s="76"/>
      <c r="AM41" s="76"/>
    </row>
    <row r="42" spans="1:59" x14ac:dyDescent="0.25">
      <c r="A42" s="25" t="s">
        <v>45</v>
      </c>
      <c r="B42" s="1" t="s">
        <v>46</v>
      </c>
      <c r="D42" s="40"/>
      <c r="E42" s="40"/>
      <c r="F42" s="40"/>
      <c r="AK42" s="76"/>
      <c r="AL42" s="76"/>
      <c r="AM42" s="76"/>
    </row>
    <row r="43" spans="1:59" x14ac:dyDescent="0.25">
      <c r="A43" s="25"/>
      <c r="AK43" s="76"/>
      <c r="AL43" s="76"/>
      <c r="AM43" s="76"/>
    </row>
    <row r="44" spans="1:59" x14ac:dyDescent="0.25">
      <c r="A44" s="118" t="s">
        <v>47</v>
      </c>
      <c r="B44" s="1" t="s">
        <v>48</v>
      </c>
      <c r="G44" s="40"/>
      <c r="H44" s="40"/>
      <c r="I44" s="40"/>
      <c r="J44" s="40"/>
      <c r="K44" s="40"/>
      <c r="N44" s="40"/>
      <c r="O44" s="40"/>
      <c r="P44" s="40"/>
      <c r="Q44" s="40"/>
      <c r="R44" s="40"/>
      <c r="S44" s="40"/>
      <c r="T44" s="40"/>
      <c r="AK44" s="76"/>
      <c r="AL44" s="76"/>
      <c r="AM44" s="76"/>
    </row>
    <row r="45" spans="1:59" x14ac:dyDescent="0.25">
      <c r="A45" s="118" t="s">
        <v>49</v>
      </c>
      <c r="B45" s="52" t="s">
        <v>50</v>
      </c>
      <c r="AK45" s="76"/>
      <c r="AL45" s="76"/>
      <c r="AM45" s="76"/>
    </row>
    <row r="46" spans="1:59" x14ac:dyDescent="0.25">
      <c r="A46" s="25"/>
      <c r="AK46" s="76"/>
      <c r="AL46" s="76"/>
      <c r="AM46" s="76"/>
    </row>
    <row r="47" spans="1:59" x14ac:dyDescent="0.25">
      <c r="A47" s="164" t="s">
        <v>51</v>
      </c>
      <c r="B47" s="165" t="s">
        <v>52</v>
      </c>
      <c r="C47" s="166"/>
      <c r="D47" s="166"/>
      <c r="E47" s="166"/>
      <c r="F47" s="166"/>
      <c r="G47" s="166"/>
      <c r="H47" s="166"/>
      <c r="AK47" s="76"/>
      <c r="AL47" s="76"/>
      <c r="AM47" s="76"/>
    </row>
    <row r="48" spans="1:59" ht="47.25" customHeight="1" x14ac:dyDescent="0.25">
      <c r="A48" s="198" t="s">
        <v>53</v>
      </c>
      <c r="B48" s="216" t="s">
        <v>54</v>
      </c>
      <c r="C48" s="216"/>
      <c r="D48" s="216"/>
      <c r="E48" s="216"/>
      <c r="F48" s="216"/>
      <c r="G48" s="216"/>
      <c r="H48" s="216"/>
      <c r="I48" s="216"/>
      <c r="J48" s="216"/>
      <c r="K48" s="216"/>
      <c r="L48" s="216"/>
      <c r="M48" s="216"/>
      <c r="AK48" s="76"/>
      <c r="AL48" s="76"/>
      <c r="AM48" s="76"/>
    </row>
    <row r="49" spans="1:66" x14ac:dyDescent="0.25">
      <c r="A49" s="25"/>
    </row>
    <row r="50" spans="1:66" x14ac:dyDescent="0.25">
      <c r="A50" s="25" t="s">
        <v>55</v>
      </c>
      <c r="B50" s="1" t="s">
        <v>56</v>
      </c>
    </row>
    <row r="51" spans="1:66" x14ac:dyDescent="0.25">
      <c r="A51" s="25"/>
      <c r="B51" s="1" t="s">
        <v>57</v>
      </c>
    </row>
    <row r="52" spans="1:66" x14ac:dyDescent="0.25">
      <c r="A52" s="25"/>
      <c r="B52" s="1" t="s">
        <v>58</v>
      </c>
    </row>
    <row r="53" spans="1:66" x14ac:dyDescent="0.25">
      <c r="A53" s="25"/>
    </row>
    <row r="54" spans="1:66" s="80" customFormat="1" x14ac:dyDescent="0.25">
      <c r="A54" s="79" t="s">
        <v>59</v>
      </c>
      <c r="B54" s="80" t="s">
        <v>60</v>
      </c>
    </row>
    <row r="55" spans="1:66" x14ac:dyDescent="0.25">
      <c r="A55" s="25"/>
    </row>
    <row r="56" spans="1:66" x14ac:dyDescent="0.25">
      <c r="A56" s="25" t="s">
        <v>61</v>
      </c>
      <c r="B56" s="1" t="s">
        <v>62</v>
      </c>
    </row>
    <row r="57" spans="1:66" x14ac:dyDescent="0.25">
      <c r="A57" s="25"/>
    </row>
    <row r="58" spans="1:66" ht="45" customHeight="1" x14ac:dyDescent="0.25">
      <c r="B58" s="39"/>
      <c r="C58" s="217" t="s">
        <v>2</v>
      </c>
      <c r="D58" s="217"/>
      <c r="E58" s="90"/>
      <c r="F58" s="218" t="s">
        <v>3</v>
      </c>
      <c r="G58" s="218"/>
      <c r="H58" s="52"/>
      <c r="I58" s="212" t="s">
        <v>4</v>
      </c>
      <c r="J58" s="212"/>
      <c r="K58" s="52"/>
      <c r="L58" s="219" t="s">
        <v>5</v>
      </c>
      <c r="M58" s="219"/>
      <c r="N58" s="52"/>
      <c r="O58" s="219" t="s">
        <v>6</v>
      </c>
      <c r="P58" s="219"/>
      <c r="Q58" s="52"/>
      <c r="R58" s="219" t="s">
        <v>7</v>
      </c>
      <c r="S58" s="219"/>
      <c r="T58" s="52"/>
      <c r="U58" s="214" t="s">
        <v>8</v>
      </c>
      <c r="V58" s="214"/>
      <c r="W58" s="52"/>
      <c r="X58" s="211" t="s">
        <v>9</v>
      </c>
      <c r="Y58" s="211"/>
      <c r="AA58" s="215" t="s">
        <v>10</v>
      </c>
      <c r="AB58" s="215"/>
      <c r="AD58" s="211" t="s">
        <v>11</v>
      </c>
      <c r="AE58" s="211"/>
      <c r="AG58" s="211" t="s">
        <v>12</v>
      </c>
      <c r="AH58" s="211"/>
      <c r="AJ58" s="211" t="s">
        <v>13</v>
      </c>
      <c r="AK58" s="211"/>
      <c r="AM58" s="211" t="s">
        <v>14</v>
      </c>
      <c r="AN58" s="211"/>
      <c r="AP58" s="212" t="s">
        <v>15</v>
      </c>
      <c r="AQ58" s="212"/>
      <c r="AS58" s="211" t="s">
        <v>16</v>
      </c>
      <c r="AT58" s="211"/>
      <c r="AV58" s="213" t="s">
        <v>17</v>
      </c>
      <c r="AW58" s="213"/>
      <c r="AY58" s="213" t="s">
        <v>18</v>
      </c>
      <c r="AZ58" s="213"/>
      <c r="BB58" s="213" t="s">
        <v>19</v>
      </c>
      <c r="BC58" s="213"/>
    </row>
    <row r="59" spans="1:66" s="34" customFormat="1" x14ac:dyDescent="0.25">
      <c r="C59" s="54" t="s">
        <v>20</v>
      </c>
      <c r="D59" s="54" t="s">
        <v>21</v>
      </c>
      <c r="E59" s="54"/>
      <c r="F59" s="34" t="s">
        <v>20</v>
      </c>
      <c r="G59" s="54" t="s">
        <v>21</v>
      </c>
      <c r="I59" s="34" t="s">
        <v>20</v>
      </c>
      <c r="J59" s="54" t="s">
        <v>21</v>
      </c>
      <c r="L59" s="34" t="s">
        <v>20</v>
      </c>
      <c r="M59" s="54" t="s">
        <v>21</v>
      </c>
      <c r="O59" s="34" t="s">
        <v>20</v>
      </c>
      <c r="P59" s="54" t="s">
        <v>21</v>
      </c>
      <c r="R59" s="34" t="s">
        <v>20</v>
      </c>
      <c r="S59" s="54" t="s">
        <v>21</v>
      </c>
      <c r="U59" s="34" t="s">
        <v>20</v>
      </c>
      <c r="V59" s="34" t="s">
        <v>21</v>
      </c>
      <c r="X59" s="34" t="s">
        <v>20</v>
      </c>
      <c r="Y59" s="34" t="s">
        <v>21</v>
      </c>
      <c r="AA59" s="34" t="s">
        <v>20</v>
      </c>
      <c r="AB59" s="34" t="s">
        <v>21</v>
      </c>
      <c r="AD59" s="34" t="s">
        <v>20</v>
      </c>
      <c r="AE59" s="34" t="s">
        <v>21</v>
      </c>
      <c r="AG59" s="34" t="s">
        <v>20</v>
      </c>
      <c r="AH59" s="34" t="s">
        <v>21</v>
      </c>
      <c r="AJ59" s="34" t="s">
        <v>20</v>
      </c>
      <c r="AK59" s="34" t="s">
        <v>21</v>
      </c>
      <c r="AM59" s="34" t="s">
        <v>20</v>
      </c>
      <c r="AN59" s="34" t="s">
        <v>21</v>
      </c>
      <c r="AP59" s="34" t="s">
        <v>20</v>
      </c>
      <c r="AQ59" s="34" t="s">
        <v>21</v>
      </c>
      <c r="AS59" s="34" t="s">
        <v>20</v>
      </c>
      <c r="AT59" s="34" t="s">
        <v>21</v>
      </c>
      <c r="AV59" s="34" t="s">
        <v>20</v>
      </c>
      <c r="AW59" s="54" t="s">
        <v>21</v>
      </c>
      <c r="AY59" s="34" t="s">
        <v>20</v>
      </c>
      <c r="AZ59" s="54" t="s">
        <v>21</v>
      </c>
      <c r="BB59" s="34" t="s">
        <v>20</v>
      </c>
      <c r="BC59" s="54" t="s">
        <v>21</v>
      </c>
      <c r="BK59" s="1"/>
      <c r="BL59" s="1"/>
      <c r="BM59" s="1"/>
      <c r="BN59" s="1"/>
    </row>
    <row r="60" spans="1:66" x14ac:dyDescent="0.25">
      <c r="A60" s="25"/>
      <c r="C60" s="39"/>
      <c r="D60" s="39"/>
      <c r="E60" s="39"/>
      <c r="F60" s="39"/>
      <c r="G60" s="39"/>
      <c r="H60" s="39"/>
      <c r="I60" s="39"/>
      <c r="J60" s="39"/>
      <c r="K60" s="39"/>
      <c r="L60" s="39"/>
    </row>
    <row r="61" spans="1:66" s="52" customFormat="1" ht="60" customHeight="1" x14ac:dyDescent="0.25">
      <c r="A61" s="158" t="s">
        <v>63</v>
      </c>
      <c r="B61" s="157"/>
      <c r="C61" s="168">
        <v>13.86</v>
      </c>
      <c r="D61" s="168">
        <v>13.86</v>
      </c>
      <c r="E61" s="74"/>
      <c r="F61" s="74">
        <f t="shared" ref="F61:G61" si="72">C61*SUM(1+$G$1/$X$1)</f>
        <v>16.631999999999998</v>
      </c>
      <c r="G61" s="74">
        <f t="shared" si="72"/>
        <v>16.631999999999998</v>
      </c>
      <c r="H61" s="74"/>
      <c r="I61" s="74">
        <f t="shared" ref="I61:J61" si="73">F61-C61</f>
        <v>2.7719999999999985</v>
      </c>
      <c r="J61" s="74">
        <f t="shared" si="73"/>
        <v>2.7719999999999985</v>
      </c>
      <c r="K61" s="51"/>
      <c r="L61" s="160">
        <f t="shared" ref="L61:M61" si="74">ROUND(C61*(1+$G$1*2),2)*SUM(1+$M$1)</f>
        <v>18.292999999999999</v>
      </c>
      <c r="M61" s="160">
        <f t="shared" si="74"/>
        <v>18.292999999999999</v>
      </c>
      <c r="O61" s="74">
        <f t="shared" ref="O61:P61" si="75">L61-C61</f>
        <v>4.4329999999999998</v>
      </c>
      <c r="P61" s="74">
        <f t="shared" si="75"/>
        <v>4.4329999999999998</v>
      </c>
      <c r="R61" s="93">
        <f t="shared" ref="R61:S61" si="76">AJ61/F61</f>
        <v>9.9807599807599817E-2</v>
      </c>
      <c r="S61" s="93">
        <f t="shared" si="76"/>
        <v>9.9807599807599817E-2</v>
      </c>
      <c r="U61" s="74">
        <f t="shared" ref="U61:V61" si="77">SUM(C61/(1-$X$1))</f>
        <v>27.72</v>
      </c>
      <c r="V61" s="74">
        <f t="shared" si="77"/>
        <v>27.72</v>
      </c>
      <c r="X61" s="74">
        <f t="shared" ref="X61:Y61" si="78">ROUND(C61/(1-$X$1)*1.2,2)</f>
        <v>33.26</v>
      </c>
      <c r="Y61" s="74">
        <f t="shared" si="78"/>
        <v>33.26</v>
      </c>
      <c r="Z61" s="94"/>
      <c r="AA61" s="183">
        <f t="shared" ref="AA61:AB61" si="79">ROUNDDOWN(C61/(1-$X$1)*1.2,1)</f>
        <v>33.200000000000003</v>
      </c>
      <c r="AB61" s="183">
        <f t="shared" si="79"/>
        <v>33.200000000000003</v>
      </c>
      <c r="AD61" s="94">
        <f t="shared" ref="AD61:AE61" si="80">AA61/1.2</f>
        <v>27.666666666666671</v>
      </c>
      <c r="AE61" s="94">
        <f t="shared" si="80"/>
        <v>27.666666666666671</v>
      </c>
      <c r="AG61" s="94">
        <f t="shared" ref="AG61:AH61" si="81">X61-AA61</f>
        <v>5.9999999999995168E-2</v>
      </c>
      <c r="AH61" s="94">
        <f t="shared" si="81"/>
        <v>5.9999999999995168E-2</v>
      </c>
      <c r="AI61" s="94"/>
      <c r="AJ61" s="94">
        <f t="shared" ref="AJ61:AK61" si="82">ROUND(L61*(1-(1/(1+$AL$1))),2)</f>
        <v>1.66</v>
      </c>
      <c r="AK61" s="94">
        <f t="shared" si="82"/>
        <v>1.66</v>
      </c>
      <c r="AL61" s="94"/>
      <c r="AM61" s="181">
        <f t="shared" ref="AM61" si="83">SUM(U61-F61)-AG61</f>
        <v>11.028000000000006</v>
      </c>
      <c r="AN61" s="181">
        <f t="shared" ref="AN61" si="84">SUM(V61-G61)-AH61</f>
        <v>11.028000000000006</v>
      </c>
      <c r="AP61" s="135">
        <f t="shared" ref="AP61:AQ61" si="85">(SUM(F61-C61)/C61)/2</f>
        <v>9.999999999999995E-2</v>
      </c>
      <c r="AQ61" s="135">
        <f t="shared" si="85"/>
        <v>9.999999999999995E-2</v>
      </c>
      <c r="AS61" s="135">
        <f t="shared" ref="AS61:AT61" si="86">AM61/U61</f>
        <v>0.39783549783549804</v>
      </c>
      <c r="AT61" s="135">
        <f t="shared" si="86"/>
        <v>0.39783549783549804</v>
      </c>
      <c r="AV61" s="93">
        <f t="shared" ref="AV61:AW61" si="87">C61/U61</f>
        <v>0.5</v>
      </c>
      <c r="AW61" s="93">
        <f t="shared" si="87"/>
        <v>0.5</v>
      </c>
      <c r="AY61" s="136">
        <f t="shared" ref="AY61:AZ61" si="88">I61+AM61</f>
        <v>13.800000000000004</v>
      </c>
      <c r="AZ61" s="136">
        <f t="shared" si="88"/>
        <v>13.800000000000004</v>
      </c>
      <c r="BB61" s="93">
        <f t="shared" ref="BB61:BC61" si="89">AY61/(C61/$X$1)</f>
        <v>0.49783549783549802</v>
      </c>
      <c r="BC61" s="93">
        <f t="shared" si="89"/>
        <v>0.49783549783549802</v>
      </c>
      <c r="BK61" s="1"/>
      <c r="BL61" s="1"/>
      <c r="BM61" s="1"/>
      <c r="BN61" s="1"/>
    </row>
    <row r="62" spans="1:66" x14ac:dyDescent="0.25">
      <c r="C62" s="39"/>
      <c r="D62" s="39"/>
      <c r="E62" s="39"/>
      <c r="F62" s="39"/>
      <c r="G62" s="39"/>
      <c r="H62" s="39"/>
      <c r="I62" s="39"/>
      <c r="J62" s="39"/>
      <c r="K62" s="39"/>
      <c r="L62" s="39"/>
      <c r="BN62" s="76"/>
    </row>
    <row r="63" spans="1:66" x14ac:dyDescent="0.25">
      <c r="A63" s="48" t="s">
        <v>64</v>
      </c>
      <c r="B63" s="44" t="s">
        <v>65</v>
      </c>
      <c r="C63" s="45" t="s">
        <v>66</v>
      </c>
    </row>
    <row r="64" spans="1:66" ht="29.25" customHeight="1" x14ac:dyDescent="0.25">
      <c r="A64" s="49"/>
      <c r="B64" s="209" t="s">
        <v>67</v>
      </c>
      <c r="C64" s="210" t="s">
        <v>68</v>
      </c>
      <c r="D64" s="210"/>
      <c r="E64" s="210"/>
      <c r="F64" s="210"/>
      <c r="G64" s="210"/>
      <c r="H64" s="210"/>
      <c r="I64" s="210"/>
      <c r="J64" s="210"/>
      <c r="K64" s="210"/>
      <c r="L64" s="210"/>
      <c r="M64" s="210"/>
    </row>
    <row r="65" spans="1:13" ht="29.25" customHeight="1" x14ac:dyDescent="0.25">
      <c r="A65" s="49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0"/>
    </row>
    <row r="66" spans="1:13" x14ac:dyDescent="0.25">
      <c r="A66" s="25"/>
      <c r="B66" s="44" t="s">
        <v>69</v>
      </c>
      <c r="C66" s="45" t="s">
        <v>70</v>
      </c>
    </row>
    <row r="67" spans="1:13" x14ac:dyDescent="0.25">
      <c r="A67" s="25"/>
      <c r="B67" s="44" t="s">
        <v>71</v>
      </c>
      <c r="C67" s="45" t="s">
        <v>72</v>
      </c>
    </row>
    <row r="68" spans="1:13" x14ac:dyDescent="0.25">
      <c r="A68" s="25"/>
      <c r="B68" s="44"/>
      <c r="C68" s="45"/>
    </row>
    <row r="69" spans="1:13" x14ac:dyDescent="0.25">
      <c r="A69" s="25" t="s">
        <v>73</v>
      </c>
      <c r="B69" s="1" t="s">
        <v>74</v>
      </c>
      <c r="C69" s="46" t="s">
        <v>75</v>
      </c>
      <c r="L69" s="47"/>
    </row>
    <row r="70" spans="1:13" x14ac:dyDescent="0.25">
      <c r="A70" s="25"/>
      <c r="B70" s="1" t="s">
        <v>76</v>
      </c>
      <c r="C70" s="47" t="s">
        <v>77</v>
      </c>
      <c r="L70" s="47"/>
    </row>
    <row r="71" spans="1:13" x14ac:dyDescent="0.25">
      <c r="A71" s="25"/>
      <c r="B71" s="1" t="s">
        <v>78</v>
      </c>
      <c r="C71" s="47" t="s">
        <v>79</v>
      </c>
      <c r="L71" s="47"/>
    </row>
    <row r="72" spans="1:13" x14ac:dyDescent="0.25">
      <c r="A72" s="25"/>
      <c r="B72" s="1" t="s">
        <v>80</v>
      </c>
      <c r="C72" s="47" t="s">
        <v>81</v>
      </c>
      <c r="L72" s="47"/>
    </row>
    <row r="73" spans="1:13" x14ac:dyDescent="0.25">
      <c r="A73" s="25"/>
    </row>
    <row r="74" spans="1:13" x14ac:dyDescent="0.25">
      <c r="A74" s="46" t="s">
        <v>82</v>
      </c>
      <c r="B74" s="1" t="s">
        <v>83</v>
      </c>
    </row>
    <row r="76" spans="1:13" x14ac:dyDescent="0.25">
      <c r="A76" s="119" t="s">
        <v>84</v>
      </c>
    </row>
    <row r="77" spans="1:13" x14ac:dyDescent="0.25">
      <c r="B77" s="47"/>
    </row>
    <row r="78" spans="1:13" x14ac:dyDescent="0.25">
      <c r="B78" s="47"/>
    </row>
    <row r="79" spans="1:13" x14ac:dyDescent="0.25">
      <c r="B79" s="47"/>
    </row>
  </sheetData>
  <mergeCells count="40">
    <mergeCell ref="AM1:AN1"/>
    <mergeCell ref="C2:D2"/>
    <mergeCell ref="F2:G2"/>
    <mergeCell ref="I2:J2"/>
    <mergeCell ref="L2:M2"/>
    <mergeCell ref="O2:P2"/>
    <mergeCell ref="R2:S2"/>
    <mergeCell ref="U2:V2"/>
    <mergeCell ref="X2:Y2"/>
    <mergeCell ref="AA2:AB2"/>
    <mergeCell ref="AV2:AW2"/>
    <mergeCell ref="AY2:AZ2"/>
    <mergeCell ref="BB2:BC2"/>
    <mergeCell ref="B48:M48"/>
    <mergeCell ref="C58:D58"/>
    <mergeCell ref="F58:G58"/>
    <mergeCell ref="I58:J58"/>
    <mergeCell ref="L58:M58"/>
    <mergeCell ref="O58:P58"/>
    <mergeCell ref="R58:S58"/>
    <mergeCell ref="AD2:AE2"/>
    <mergeCell ref="AG2:AH2"/>
    <mergeCell ref="AJ2:AK2"/>
    <mergeCell ref="AM2:AN2"/>
    <mergeCell ref="AP2:AQ2"/>
    <mergeCell ref="AS2:AT2"/>
    <mergeCell ref="AV58:AW58"/>
    <mergeCell ref="AY58:AZ58"/>
    <mergeCell ref="BB58:BC58"/>
    <mergeCell ref="U58:V58"/>
    <mergeCell ref="X58:Y58"/>
    <mergeCell ref="AA58:AB58"/>
    <mergeCell ref="AD58:AE58"/>
    <mergeCell ref="AG58:AH58"/>
    <mergeCell ref="AJ58:AK58"/>
    <mergeCell ref="B64:B65"/>
    <mergeCell ref="C64:M65"/>
    <mergeCell ref="AM58:AN58"/>
    <mergeCell ref="AP58:AQ58"/>
    <mergeCell ref="AS58:AT58"/>
  </mergeCells>
  <pageMargins left="0.7" right="0.7" top="0.75" bottom="0.75" header="0.3" footer="0.3"/>
  <pageSetup orientation="portrait" horizontalDpi="4294967295" verticalDpi="4294967295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FD174-1634-45B8-AB80-96B9AF9AC6E7}">
  <sheetPr>
    <tabColor theme="7" tint="0.39997558519241921"/>
  </sheetPr>
  <dimension ref="A1:BE54"/>
  <sheetViews>
    <sheetView zoomScale="85" zoomScaleNormal="85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ColWidth="8.85546875" defaultRowHeight="15" x14ac:dyDescent="0.25"/>
  <cols>
    <col min="1" max="1" width="27" style="1" customWidth="1"/>
    <col min="2" max="2" width="8.85546875" style="1" customWidth="1"/>
    <col min="3" max="3" width="32.140625" style="1" customWidth="1"/>
    <col min="4" max="5" width="10" style="1" customWidth="1"/>
    <col min="6" max="6" width="3.7109375" style="1" customWidth="1"/>
    <col min="7" max="8" width="9.7109375" style="1" customWidth="1"/>
    <col min="9" max="9" width="3.7109375" style="1" customWidth="1"/>
    <col min="10" max="11" width="9.7109375" style="1" customWidth="1"/>
    <col min="12" max="12" width="3.7109375" style="1" customWidth="1"/>
    <col min="13" max="13" width="13" style="1" customWidth="1"/>
    <col min="14" max="14" width="11.85546875" style="1" bestFit="1" customWidth="1"/>
    <col min="15" max="15" width="3.7109375" style="1" customWidth="1"/>
    <col min="16" max="17" width="9.7109375" style="1" customWidth="1"/>
    <col min="18" max="18" width="3.7109375" style="1" customWidth="1"/>
    <col min="19" max="20" width="9.7109375" style="1" customWidth="1"/>
    <col min="21" max="21" width="5.140625" style="1" customWidth="1"/>
    <col min="22" max="22" width="12.42578125" style="1" customWidth="1"/>
    <col min="23" max="23" width="11.85546875" style="1" customWidth="1"/>
    <col min="24" max="24" width="6.140625" style="1" customWidth="1"/>
    <col min="25" max="25" width="12.42578125" style="1" customWidth="1"/>
    <col min="26" max="26" width="11.85546875" style="1" customWidth="1"/>
    <col min="27" max="27" width="3.7109375" style="1" customWidth="1"/>
    <col min="28" max="29" width="9.7109375" style="1" customWidth="1"/>
    <col min="30" max="30" width="3.7109375" style="1" customWidth="1"/>
    <col min="31" max="32" width="9.7109375" style="1" customWidth="1"/>
    <col min="33" max="33" width="3.7109375" style="1" customWidth="1"/>
    <col min="34" max="35" width="9.7109375" style="1" customWidth="1"/>
    <col min="36" max="36" width="3.7109375" style="1" customWidth="1"/>
    <col min="37" max="38" width="9.7109375" style="1" customWidth="1"/>
    <col min="39" max="39" width="3.7109375" style="1" customWidth="1"/>
    <col min="40" max="41" width="9.7109375" style="1" customWidth="1"/>
    <col min="42" max="42" width="3.7109375" style="1" customWidth="1"/>
    <col min="43" max="44" width="9.7109375" style="1" customWidth="1"/>
    <col min="45" max="45" width="3.7109375" style="1" customWidth="1"/>
    <col min="46" max="47" width="9.7109375" style="1" customWidth="1"/>
    <col min="48" max="48" width="3.7109375" style="1" customWidth="1"/>
    <col min="49" max="50" width="9.7109375" style="1" customWidth="1"/>
    <col min="51" max="51" width="3.7109375" style="1" customWidth="1"/>
    <col min="52" max="53" width="9.7109375" style="1" customWidth="1"/>
    <col min="54" max="54" width="3.7109375" style="1" customWidth="1"/>
    <col min="55" max="55" width="11.85546875" style="1" customWidth="1"/>
    <col min="56" max="56" width="10.42578125" style="1" customWidth="1"/>
    <col min="57" max="57" width="8.140625" style="1" customWidth="1"/>
    <col min="58" max="16384" width="8.85546875" style="1"/>
  </cols>
  <sheetData>
    <row r="1" spans="1:57" ht="15" customHeight="1" thickBot="1" x14ac:dyDescent="0.3">
      <c r="A1" s="184" t="s">
        <v>88</v>
      </c>
      <c r="B1" s="55"/>
      <c r="C1" s="171" t="s">
        <v>0</v>
      </c>
      <c r="D1" s="163">
        <v>0.495</v>
      </c>
      <c r="E1" s="18"/>
      <c r="F1" s="18"/>
      <c r="G1" s="194">
        <v>0.1</v>
      </c>
      <c r="H1" s="170" t="s">
        <v>1</v>
      </c>
      <c r="I1" s="18"/>
      <c r="J1" s="18"/>
      <c r="K1" s="18"/>
      <c r="L1" s="18"/>
      <c r="M1" s="92">
        <v>0.1</v>
      </c>
      <c r="N1" s="18"/>
      <c r="O1" s="18"/>
      <c r="P1" s="18"/>
      <c r="Q1" s="18"/>
      <c r="R1" s="18"/>
      <c r="S1" s="18"/>
      <c r="T1" s="18"/>
      <c r="U1" s="18"/>
      <c r="V1" s="92"/>
      <c r="W1" s="18"/>
      <c r="X1" s="92"/>
      <c r="Y1" s="91">
        <v>0.5</v>
      </c>
      <c r="Z1" s="18"/>
      <c r="AL1" s="83">
        <v>0.1</v>
      </c>
    </row>
    <row r="2" spans="1:57" ht="48" customHeight="1" x14ac:dyDescent="0.25">
      <c r="A2" s="97"/>
      <c r="D2" s="244" t="s">
        <v>128</v>
      </c>
      <c r="E2" s="244"/>
      <c r="F2" s="95"/>
      <c r="G2" s="245" t="s">
        <v>3</v>
      </c>
      <c r="H2" s="245"/>
      <c r="I2" s="18"/>
      <c r="J2" s="245" t="s">
        <v>4</v>
      </c>
      <c r="K2" s="245"/>
      <c r="L2" s="18"/>
      <c r="M2" s="219" t="s">
        <v>5</v>
      </c>
      <c r="N2" s="219"/>
      <c r="O2" s="18"/>
      <c r="P2" s="219" t="s">
        <v>6</v>
      </c>
      <c r="Q2" s="219"/>
      <c r="R2" s="18"/>
      <c r="S2" s="219" t="s">
        <v>7</v>
      </c>
      <c r="T2" s="219"/>
      <c r="U2" s="18"/>
      <c r="V2" s="214" t="s">
        <v>8</v>
      </c>
      <c r="W2" s="214"/>
      <c r="X2" s="52"/>
      <c r="Y2" s="211" t="s">
        <v>9</v>
      </c>
      <c r="Z2" s="211"/>
      <c r="AB2" s="215" t="s">
        <v>10</v>
      </c>
      <c r="AC2" s="215"/>
      <c r="AE2" s="211" t="s">
        <v>11</v>
      </c>
      <c r="AF2" s="211"/>
      <c r="AH2" s="211" t="s">
        <v>12</v>
      </c>
      <c r="AI2" s="211"/>
      <c r="AK2" s="211" t="s">
        <v>13</v>
      </c>
      <c r="AL2" s="211"/>
      <c r="AN2" s="211" t="s">
        <v>14</v>
      </c>
      <c r="AO2" s="211"/>
      <c r="AQ2" s="212" t="s">
        <v>15</v>
      </c>
      <c r="AR2" s="212"/>
      <c r="AT2" s="211" t="s">
        <v>16</v>
      </c>
      <c r="AU2" s="211"/>
      <c r="AW2" s="213" t="s">
        <v>17</v>
      </c>
      <c r="AX2" s="213"/>
      <c r="AZ2" s="213" t="s">
        <v>18</v>
      </c>
      <c r="BA2" s="213"/>
      <c r="BC2" s="213" t="s">
        <v>129</v>
      </c>
      <c r="BD2" s="213"/>
    </row>
    <row r="3" spans="1:57" s="52" customFormat="1" ht="60" customHeight="1" x14ac:dyDescent="0.25">
      <c r="A3" s="97"/>
      <c r="D3" s="195" t="s">
        <v>130</v>
      </c>
      <c r="E3" s="147" t="s">
        <v>131</v>
      </c>
      <c r="F3" s="35"/>
      <c r="G3" s="151" t="s">
        <v>130</v>
      </c>
      <c r="H3" s="152" t="s">
        <v>131</v>
      </c>
      <c r="J3" s="151" t="s">
        <v>130</v>
      </c>
      <c r="K3" s="152" t="s">
        <v>131</v>
      </c>
      <c r="M3" s="132" t="s">
        <v>130</v>
      </c>
      <c r="N3" s="133" t="s">
        <v>131</v>
      </c>
      <c r="P3" s="132" t="s">
        <v>130</v>
      </c>
      <c r="Q3" s="133" t="s">
        <v>131</v>
      </c>
      <c r="S3" s="132" t="s">
        <v>130</v>
      </c>
      <c r="T3" s="133" t="s">
        <v>131</v>
      </c>
      <c r="V3" s="96" t="s">
        <v>130</v>
      </c>
      <c r="W3" s="95" t="s">
        <v>131</v>
      </c>
      <c r="Y3" s="96" t="s">
        <v>130</v>
      </c>
      <c r="Z3" s="95" t="s">
        <v>131</v>
      </c>
      <c r="AB3" s="96" t="s">
        <v>130</v>
      </c>
      <c r="AC3" s="95" t="s">
        <v>131</v>
      </c>
      <c r="AE3" s="96" t="s">
        <v>130</v>
      </c>
      <c r="AF3" s="95" t="s">
        <v>131</v>
      </c>
      <c r="AG3" s="34"/>
      <c r="AH3" s="96" t="s">
        <v>130</v>
      </c>
      <c r="AI3" s="95" t="s">
        <v>131</v>
      </c>
      <c r="AK3" s="128" t="s">
        <v>130</v>
      </c>
      <c r="AL3" s="129" t="s">
        <v>131</v>
      </c>
      <c r="AN3" s="96" t="s">
        <v>130</v>
      </c>
      <c r="AO3" s="95" t="s">
        <v>131</v>
      </c>
      <c r="AQ3" s="196" t="s">
        <v>130</v>
      </c>
      <c r="AR3" s="142" t="s">
        <v>131</v>
      </c>
      <c r="AT3" s="197" t="s">
        <v>130</v>
      </c>
      <c r="AU3" s="129" t="s">
        <v>131</v>
      </c>
      <c r="AW3" s="96" t="s">
        <v>130</v>
      </c>
      <c r="AX3" s="95" t="s">
        <v>131</v>
      </c>
      <c r="AZ3" s="96" t="s">
        <v>130</v>
      </c>
      <c r="BA3" s="95" t="s">
        <v>131</v>
      </c>
      <c r="BC3" s="139" t="s">
        <v>130</v>
      </c>
      <c r="BD3" s="95" t="s">
        <v>131</v>
      </c>
    </row>
    <row r="4" spans="1:57" x14ac:dyDescent="0.25">
      <c r="A4" s="167" t="s">
        <v>132</v>
      </c>
      <c r="B4" s="4"/>
      <c r="D4" s="137"/>
      <c r="E4" s="148"/>
      <c r="F4" s="39"/>
      <c r="G4" s="138"/>
      <c r="H4" s="138"/>
      <c r="J4" s="154"/>
      <c r="K4" s="154"/>
      <c r="M4" s="123"/>
      <c r="N4" s="123"/>
      <c r="P4" s="123"/>
      <c r="Q4" s="123"/>
      <c r="S4" s="140"/>
      <c r="T4" s="140"/>
      <c r="V4" s="75"/>
      <c r="AK4" s="131"/>
      <c r="AL4" s="131"/>
      <c r="AQ4" s="143"/>
      <c r="AR4" s="143"/>
      <c r="AT4" s="131"/>
      <c r="AU4" s="131"/>
    </row>
    <row r="5" spans="1:57" x14ac:dyDescent="0.25">
      <c r="A5" t="s">
        <v>133</v>
      </c>
      <c r="D5" s="162">
        <v>32.270000000000003</v>
      </c>
      <c r="E5" s="162">
        <v>57.78</v>
      </c>
      <c r="F5" s="81"/>
      <c r="G5" s="153">
        <f t="shared" ref="G5:H8" si="0">D5*SUM(1+$G$1/$Y$1)</f>
        <v>38.724000000000004</v>
      </c>
      <c r="H5" s="153">
        <f t="shared" si="0"/>
        <v>69.335999999999999</v>
      </c>
      <c r="I5" s="83"/>
      <c r="J5" s="155">
        <f>G5-D5</f>
        <v>6.4540000000000006</v>
      </c>
      <c r="K5" s="155">
        <f>H5-E5</f>
        <v>11.555999999999997</v>
      </c>
      <c r="L5" s="83"/>
      <c r="M5" s="134">
        <f>ROUND(D5*(1+$G$1*2),2)*SUM(1+$M$1)</f>
        <v>42.591999999999999</v>
      </c>
      <c r="N5" s="134">
        <f>ROUND(E5*(1+$G$1*2),2)*SUM(1+$M$1)</f>
        <v>76.274000000000015</v>
      </c>
      <c r="P5" s="134">
        <f>M5-D5</f>
        <v>10.321999999999996</v>
      </c>
      <c r="Q5" s="134">
        <f>N5-E5</f>
        <v>18.494000000000014</v>
      </c>
      <c r="S5" s="141">
        <f t="shared" ref="S5:T8" si="1">AK5/G5</f>
        <v>9.9938022931515338E-2</v>
      </c>
      <c r="T5" s="141">
        <f t="shared" si="1"/>
        <v>9.9948078920041539E-2</v>
      </c>
      <c r="V5" s="41">
        <f t="shared" ref="V5:W8" si="2">SUM(D5/(1-$Y$1))</f>
        <v>64.540000000000006</v>
      </c>
      <c r="W5" s="41">
        <f t="shared" si="2"/>
        <v>115.56</v>
      </c>
      <c r="X5" s="82"/>
      <c r="Y5" s="41">
        <f>ROUND(D5/(1-$Y$1)*1.2,2)</f>
        <v>77.45</v>
      </c>
      <c r="Z5" s="41">
        <f>ROUND(E5/(1-$Y$1)*1.2,2)</f>
        <v>138.66999999999999</v>
      </c>
      <c r="AB5" s="182">
        <f>ROUNDDOWN(D5/(1-$Y$1)*1.2,1)</f>
        <v>77.400000000000006</v>
      </c>
      <c r="AC5" s="182">
        <f>ROUNDDOWN(E5/(1-$Y$1)*1.2,1)</f>
        <v>138.6</v>
      </c>
      <c r="AE5" s="40">
        <f>AB5/1.2</f>
        <v>64.500000000000014</v>
      </c>
      <c r="AF5" s="40">
        <f>AC5/1.2</f>
        <v>115.5</v>
      </c>
      <c r="AH5" s="40">
        <f>Y5-AB5</f>
        <v>4.9999999999997158E-2</v>
      </c>
      <c r="AI5" s="40">
        <f>Z5-AC5</f>
        <v>6.9999999999993179E-2</v>
      </c>
      <c r="AK5" s="130">
        <f t="shared" ref="AK5:AL8" si="3">ROUND(M5*(1-(1/(1+$AL$1))),2)</f>
        <v>3.87</v>
      </c>
      <c r="AL5" s="130">
        <f t="shared" si="3"/>
        <v>6.93</v>
      </c>
      <c r="AM5" s="40"/>
      <c r="AN5" s="40">
        <f>SUM(V5-G5)-AH5</f>
        <v>25.766000000000005</v>
      </c>
      <c r="AO5" s="40">
        <f>SUM(W5-H5)-AI5</f>
        <v>46.154000000000011</v>
      </c>
      <c r="AP5" s="40"/>
      <c r="AQ5" s="144">
        <f t="shared" ref="AQ5:AR8" si="4">(SUM(G5-D5)/D5*$Y$1)</f>
        <v>0.1</v>
      </c>
      <c r="AR5" s="144">
        <f t="shared" si="4"/>
        <v>9.9999999999999978E-2</v>
      </c>
      <c r="AS5" s="40"/>
      <c r="AT5" s="146">
        <f t="shared" ref="AT5:AU8" si="5">AN5/V5</f>
        <v>0.3992252866439418</v>
      </c>
      <c r="AU5" s="146">
        <f t="shared" si="5"/>
        <v>0.39939425406715134</v>
      </c>
      <c r="AV5" s="40"/>
      <c r="AW5" s="76">
        <f t="shared" ref="AW5:AX8" si="6">D5/V5</f>
        <v>0.5</v>
      </c>
      <c r="AX5" s="76">
        <f t="shared" si="6"/>
        <v>0.5</v>
      </c>
      <c r="AY5" s="42"/>
      <c r="AZ5" s="42">
        <f t="shared" ref="AZ5:BA8" si="7">J5+AN5</f>
        <v>32.220000000000006</v>
      </c>
      <c r="BA5" s="42">
        <f t="shared" si="7"/>
        <v>57.710000000000008</v>
      </c>
      <c r="BB5" s="42"/>
      <c r="BC5" s="76">
        <f t="shared" ref="BC5:BD8" si="8">AZ5/(D5/$Y$1)</f>
        <v>0.49922528664394178</v>
      </c>
      <c r="BD5" s="76">
        <f t="shared" si="8"/>
        <v>0.49939425406715132</v>
      </c>
      <c r="BE5" s="42"/>
    </row>
    <row r="6" spans="1:57" x14ac:dyDescent="0.25">
      <c r="A6" t="s">
        <v>134</v>
      </c>
      <c r="D6" s="162">
        <f>D5*1.5</f>
        <v>48.405000000000001</v>
      </c>
      <c r="E6" s="162">
        <f>E5*1.5</f>
        <v>86.67</v>
      </c>
      <c r="F6" s="81"/>
      <c r="G6" s="153">
        <f t="shared" si="0"/>
        <v>58.085999999999999</v>
      </c>
      <c r="H6" s="153">
        <f t="shared" si="0"/>
        <v>104.004</v>
      </c>
      <c r="I6" s="83"/>
      <c r="J6" s="155">
        <f>G6-D6</f>
        <v>9.6809999999999974</v>
      </c>
      <c r="K6" s="155">
        <f>H6-E6</f>
        <v>17.334000000000003</v>
      </c>
      <c r="L6" s="83"/>
      <c r="M6" s="134">
        <f t="shared" ref="M6:N8" si="9">ROUND(D6*(1+$G$1*2),2)*SUM(1+$M$1)</f>
        <v>63.899000000000008</v>
      </c>
      <c r="N6" s="134">
        <f t="shared" si="9"/>
        <v>114.4</v>
      </c>
      <c r="P6" s="134">
        <f>M6-D6</f>
        <v>15.494000000000007</v>
      </c>
      <c r="Q6" s="134">
        <f>N6-E6</f>
        <v>27.730000000000004</v>
      </c>
      <c r="S6" s="141">
        <f t="shared" si="1"/>
        <v>0.10002410219329959</v>
      </c>
      <c r="T6" s="141">
        <f t="shared" si="1"/>
        <v>9.9996153994077144E-2</v>
      </c>
      <c r="V6" s="41">
        <f t="shared" si="2"/>
        <v>96.81</v>
      </c>
      <c r="W6" s="41">
        <f t="shared" si="2"/>
        <v>173.34</v>
      </c>
      <c r="X6" s="82"/>
      <c r="Y6" s="41">
        <f t="shared" ref="Y6:Z8" si="10">ROUND(D6/(1-$Y$1)*1.2,2)</f>
        <v>116.17</v>
      </c>
      <c r="Z6" s="41">
        <f t="shared" si="10"/>
        <v>208.01</v>
      </c>
      <c r="AB6" s="182">
        <f t="shared" ref="AB6:AC8" si="11">ROUNDDOWN(D6/(1-$Y$1)*1.2,1)</f>
        <v>116.1</v>
      </c>
      <c r="AC6" s="182">
        <f t="shared" si="11"/>
        <v>208</v>
      </c>
      <c r="AE6" s="40">
        <f t="shared" ref="AE6:AF8" si="12">AB6/1.2</f>
        <v>96.75</v>
      </c>
      <c r="AF6" s="40">
        <f t="shared" si="12"/>
        <v>173.33333333333334</v>
      </c>
      <c r="AH6" s="40">
        <f t="shared" ref="AH6:AI8" si="13">Y6-AB6</f>
        <v>7.000000000000739E-2</v>
      </c>
      <c r="AI6" s="40">
        <f t="shared" si="13"/>
        <v>9.9999999999909051E-3</v>
      </c>
      <c r="AK6" s="130">
        <f t="shared" si="3"/>
        <v>5.81</v>
      </c>
      <c r="AL6" s="130">
        <f t="shared" si="3"/>
        <v>10.4</v>
      </c>
      <c r="AM6" s="40"/>
      <c r="AN6" s="40">
        <f t="shared" ref="AN6:AN8" si="14">SUM(V6-G6)-AH6</f>
        <v>38.653999999999996</v>
      </c>
      <c r="AO6" s="40">
        <f t="shared" ref="AO6:AO8" si="15">SUM(W6-H6)-AI6</f>
        <v>69.326000000000008</v>
      </c>
      <c r="AP6" s="40"/>
      <c r="AQ6" s="144">
        <f t="shared" si="4"/>
        <v>9.9999999999999964E-2</v>
      </c>
      <c r="AR6" s="144">
        <f t="shared" si="4"/>
        <v>0.10000000000000002</v>
      </c>
      <c r="AS6" s="40"/>
      <c r="AT6" s="146">
        <f t="shared" si="5"/>
        <v>0.39927693420101223</v>
      </c>
      <c r="AU6" s="146">
        <f t="shared" si="5"/>
        <v>0.39994230991115731</v>
      </c>
      <c r="AV6" s="40"/>
      <c r="AW6" s="76">
        <f t="shared" si="6"/>
        <v>0.5</v>
      </c>
      <c r="AX6" s="76">
        <f t="shared" si="6"/>
        <v>0.5</v>
      </c>
      <c r="AY6" s="42"/>
      <c r="AZ6" s="42">
        <f t="shared" si="7"/>
        <v>48.334999999999994</v>
      </c>
      <c r="BA6" s="42">
        <f t="shared" si="7"/>
        <v>86.660000000000011</v>
      </c>
      <c r="BB6" s="42"/>
      <c r="BC6" s="76">
        <f t="shared" si="8"/>
        <v>0.49927693420101221</v>
      </c>
      <c r="BD6" s="76">
        <f t="shared" si="8"/>
        <v>0.49994230991115729</v>
      </c>
      <c r="BE6" s="42"/>
    </row>
    <row r="7" spans="1:57" x14ac:dyDescent="0.25">
      <c r="A7" t="s">
        <v>135</v>
      </c>
      <c r="D7" s="162">
        <v>54.13</v>
      </c>
      <c r="E7" s="162">
        <v>99.22</v>
      </c>
      <c r="F7" s="81"/>
      <c r="G7" s="153">
        <f t="shared" si="0"/>
        <v>64.956000000000003</v>
      </c>
      <c r="H7" s="153">
        <f t="shared" si="0"/>
        <v>119.06399999999999</v>
      </c>
      <c r="J7" s="155">
        <f t="shared" ref="J7:K8" si="16">G7-D7</f>
        <v>10.826000000000001</v>
      </c>
      <c r="K7" s="155">
        <f t="shared" si="16"/>
        <v>19.843999999999994</v>
      </c>
      <c r="M7" s="134">
        <f t="shared" si="9"/>
        <v>71.456000000000003</v>
      </c>
      <c r="N7" s="134">
        <f t="shared" si="9"/>
        <v>130.96600000000001</v>
      </c>
      <c r="P7" s="134">
        <f t="shared" ref="P7:Q8" si="17">M7-D7</f>
        <v>17.326000000000001</v>
      </c>
      <c r="Q7" s="134">
        <f t="shared" si="17"/>
        <v>31.746000000000009</v>
      </c>
      <c r="S7" s="141">
        <f t="shared" si="1"/>
        <v>0.10006773816121682</v>
      </c>
      <c r="T7" s="141">
        <f t="shared" si="1"/>
        <v>0.10003023583954848</v>
      </c>
      <c r="V7" s="41">
        <f t="shared" si="2"/>
        <v>108.26</v>
      </c>
      <c r="W7" s="41">
        <f t="shared" si="2"/>
        <v>198.44</v>
      </c>
      <c r="Y7" s="41">
        <f t="shared" si="10"/>
        <v>129.91</v>
      </c>
      <c r="Z7" s="41">
        <f t="shared" si="10"/>
        <v>238.13</v>
      </c>
      <c r="AB7" s="182">
        <f t="shared" si="11"/>
        <v>129.9</v>
      </c>
      <c r="AC7" s="182">
        <f t="shared" si="11"/>
        <v>238.1</v>
      </c>
      <c r="AE7" s="40">
        <f t="shared" si="12"/>
        <v>108.25000000000001</v>
      </c>
      <c r="AF7" s="40">
        <f t="shared" si="12"/>
        <v>198.41666666666666</v>
      </c>
      <c r="AH7" s="40">
        <f t="shared" si="13"/>
        <v>9.9999999999909051E-3</v>
      </c>
      <c r="AI7" s="40">
        <f t="shared" si="13"/>
        <v>3.0000000000001137E-2</v>
      </c>
      <c r="AK7" s="130">
        <f t="shared" si="3"/>
        <v>6.5</v>
      </c>
      <c r="AL7" s="130">
        <f t="shared" si="3"/>
        <v>11.91</v>
      </c>
      <c r="AM7" s="40"/>
      <c r="AN7" s="40">
        <f t="shared" si="14"/>
        <v>43.294000000000011</v>
      </c>
      <c r="AO7" s="40">
        <f t="shared" si="15"/>
        <v>79.346000000000004</v>
      </c>
      <c r="AP7" s="40"/>
      <c r="AQ7" s="144">
        <f t="shared" si="4"/>
        <v>0.1</v>
      </c>
      <c r="AR7" s="144">
        <f t="shared" si="4"/>
        <v>9.9999999999999978E-2</v>
      </c>
      <c r="AS7" s="40"/>
      <c r="AT7" s="146">
        <f t="shared" si="5"/>
        <v>0.39990762978015898</v>
      </c>
      <c r="AU7" s="146">
        <f t="shared" si="5"/>
        <v>0.39984882080225764</v>
      </c>
      <c r="AV7" s="40"/>
      <c r="AW7" s="76">
        <f t="shared" si="6"/>
        <v>0.5</v>
      </c>
      <c r="AX7" s="76">
        <f t="shared" si="6"/>
        <v>0.5</v>
      </c>
      <c r="AY7" s="42"/>
      <c r="AZ7" s="42">
        <f t="shared" si="7"/>
        <v>54.120000000000012</v>
      </c>
      <c r="BA7" s="42">
        <f t="shared" si="7"/>
        <v>99.19</v>
      </c>
      <c r="BB7" s="42"/>
      <c r="BC7" s="76">
        <f t="shared" si="8"/>
        <v>0.49990762978015896</v>
      </c>
      <c r="BD7" s="76">
        <f t="shared" si="8"/>
        <v>0.49984882080225762</v>
      </c>
      <c r="BE7" s="42"/>
    </row>
    <row r="8" spans="1:57" x14ac:dyDescent="0.25">
      <c r="A8" t="s">
        <v>136</v>
      </c>
      <c r="D8" s="162">
        <v>56.43</v>
      </c>
      <c r="E8" s="162">
        <v>102.3</v>
      </c>
      <c r="F8" s="81"/>
      <c r="G8" s="153">
        <f t="shared" si="0"/>
        <v>67.715999999999994</v>
      </c>
      <c r="H8" s="153">
        <f t="shared" si="0"/>
        <v>122.75999999999999</v>
      </c>
      <c r="J8" s="155">
        <f t="shared" si="16"/>
        <v>11.285999999999994</v>
      </c>
      <c r="K8" s="155">
        <f t="shared" si="16"/>
        <v>20.459999999999994</v>
      </c>
      <c r="M8" s="134">
        <f t="shared" si="9"/>
        <v>74.492000000000004</v>
      </c>
      <c r="N8" s="134">
        <f t="shared" si="9"/>
        <v>135.03600000000003</v>
      </c>
      <c r="P8" s="134">
        <f t="shared" si="17"/>
        <v>18.062000000000005</v>
      </c>
      <c r="Q8" s="134">
        <f t="shared" si="17"/>
        <v>32.736000000000033</v>
      </c>
      <c r="S8" s="141">
        <f t="shared" si="1"/>
        <v>9.9976371906196473E-2</v>
      </c>
      <c r="T8" s="141">
        <f t="shared" si="1"/>
        <v>0.10003258390355164</v>
      </c>
      <c r="V8" s="41">
        <f t="shared" si="2"/>
        <v>112.86</v>
      </c>
      <c r="W8" s="41">
        <f t="shared" si="2"/>
        <v>204.6</v>
      </c>
      <c r="Y8" s="41">
        <f t="shared" si="10"/>
        <v>135.43</v>
      </c>
      <c r="Z8" s="41">
        <f t="shared" si="10"/>
        <v>245.52</v>
      </c>
      <c r="AB8" s="182">
        <f t="shared" si="11"/>
        <v>135.4</v>
      </c>
      <c r="AC8" s="182">
        <f t="shared" si="11"/>
        <v>245.5</v>
      </c>
      <c r="AE8" s="40">
        <f t="shared" si="12"/>
        <v>112.83333333333334</v>
      </c>
      <c r="AF8" s="40">
        <f t="shared" si="12"/>
        <v>204.58333333333334</v>
      </c>
      <c r="AH8" s="40">
        <f t="shared" si="13"/>
        <v>3.0000000000001137E-2</v>
      </c>
      <c r="AI8" s="40">
        <f t="shared" si="13"/>
        <v>2.0000000000010232E-2</v>
      </c>
      <c r="AK8" s="130">
        <f t="shared" si="3"/>
        <v>6.77</v>
      </c>
      <c r="AL8" s="130">
        <f t="shared" si="3"/>
        <v>12.28</v>
      </c>
      <c r="AM8" s="40"/>
      <c r="AN8" s="40">
        <f t="shared" si="14"/>
        <v>45.114000000000004</v>
      </c>
      <c r="AO8" s="40">
        <f t="shared" si="15"/>
        <v>81.819999999999993</v>
      </c>
      <c r="AP8" s="40"/>
      <c r="AQ8" s="144">
        <f t="shared" si="4"/>
        <v>9.999999999999995E-2</v>
      </c>
      <c r="AR8" s="144">
        <f t="shared" si="4"/>
        <v>9.9999999999999978E-2</v>
      </c>
      <c r="AS8" s="40"/>
      <c r="AT8" s="146">
        <f t="shared" si="5"/>
        <v>0.39973418394471028</v>
      </c>
      <c r="AU8" s="146">
        <f t="shared" si="5"/>
        <v>0.39990224828934506</v>
      </c>
      <c r="AV8" s="40"/>
      <c r="AW8" s="76">
        <f t="shared" si="6"/>
        <v>0.5</v>
      </c>
      <c r="AX8" s="76">
        <f t="shared" si="6"/>
        <v>0.5</v>
      </c>
      <c r="AY8" s="42"/>
      <c r="AZ8" s="42">
        <f t="shared" si="7"/>
        <v>56.4</v>
      </c>
      <c r="BA8" s="42">
        <f t="shared" si="7"/>
        <v>102.27999999999999</v>
      </c>
      <c r="BB8" s="42"/>
      <c r="BC8" s="76">
        <f t="shared" si="8"/>
        <v>0.49973418394471025</v>
      </c>
      <c r="BD8" s="76">
        <f t="shared" si="8"/>
        <v>0.49990224828934499</v>
      </c>
      <c r="BE8" s="42"/>
    </row>
    <row r="9" spans="1:57" x14ac:dyDescent="0.25">
      <c r="A9"/>
      <c r="D9" s="162"/>
      <c r="E9" s="162"/>
      <c r="F9" s="41"/>
      <c r="G9" s="153"/>
      <c r="H9" s="153"/>
      <c r="I9" s="75"/>
      <c r="J9" s="156"/>
      <c r="K9" s="156"/>
      <c r="L9" s="75"/>
      <c r="M9" s="134"/>
      <c r="N9" s="134"/>
      <c r="P9" s="134"/>
      <c r="Q9" s="134"/>
      <c r="S9" s="140"/>
      <c r="T9" s="140"/>
      <c r="V9" s="40"/>
      <c r="W9" s="40"/>
      <c r="Y9" s="41"/>
      <c r="Z9" s="41"/>
      <c r="AK9" s="130"/>
      <c r="AL9" s="130"/>
      <c r="AM9" s="40"/>
      <c r="AN9" s="40"/>
      <c r="AO9" s="40"/>
      <c r="AP9" s="40"/>
      <c r="AQ9" s="145"/>
      <c r="AR9" s="145"/>
      <c r="AS9" s="40"/>
      <c r="AT9" s="146"/>
      <c r="AU9" s="146"/>
      <c r="AV9" s="40"/>
      <c r="AW9" s="76"/>
      <c r="AX9" s="76"/>
      <c r="AY9" s="42"/>
      <c r="AZ9" s="42"/>
      <c r="BA9" s="42"/>
      <c r="BB9" s="42"/>
      <c r="BC9" s="76"/>
      <c r="BD9" s="76"/>
      <c r="BE9" s="42"/>
    </row>
    <row r="10" spans="1:57" x14ac:dyDescent="0.25">
      <c r="A10" s="167" t="s">
        <v>137</v>
      </c>
      <c r="B10" s="4"/>
      <c r="D10" s="162"/>
      <c r="E10" s="162"/>
      <c r="F10" s="41"/>
      <c r="G10" s="153"/>
      <c r="H10" s="153"/>
      <c r="J10" s="154"/>
      <c r="K10" s="154"/>
      <c r="M10" s="134"/>
      <c r="N10" s="134"/>
      <c r="P10" s="134"/>
      <c r="Q10" s="134"/>
      <c r="S10" s="140"/>
      <c r="T10" s="140"/>
      <c r="V10" s="40"/>
      <c r="W10" s="40"/>
      <c r="Y10" s="41"/>
      <c r="Z10" s="41"/>
      <c r="AK10" s="130"/>
      <c r="AL10" s="130"/>
      <c r="AM10" s="40"/>
      <c r="AN10" s="40"/>
      <c r="AO10" s="40"/>
      <c r="AP10" s="40"/>
      <c r="AQ10" s="145"/>
      <c r="AR10" s="145"/>
      <c r="AS10" s="40"/>
      <c r="AT10" s="146"/>
      <c r="AU10" s="146"/>
      <c r="AV10" s="40"/>
      <c r="AW10" s="76"/>
      <c r="AX10" s="76"/>
      <c r="AY10" s="42"/>
      <c r="AZ10" s="42"/>
      <c r="BA10" s="42"/>
      <c r="BB10" s="42"/>
      <c r="BC10" s="76"/>
      <c r="BD10" s="76"/>
      <c r="BE10" s="42"/>
    </row>
    <row r="11" spans="1:57" x14ac:dyDescent="0.25">
      <c r="A11" t="s">
        <v>133</v>
      </c>
      <c r="D11" s="162">
        <v>32.270000000000003</v>
      </c>
      <c r="E11" s="162">
        <v>57.78</v>
      </c>
      <c r="F11" s="81"/>
      <c r="G11" s="153">
        <f t="shared" ref="G11:H14" si="18">D11*SUM(1+$G$1/$Y$1)</f>
        <v>38.724000000000004</v>
      </c>
      <c r="H11" s="153">
        <f t="shared" si="18"/>
        <v>69.335999999999999</v>
      </c>
      <c r="J11" s="155">
        <f t="shared" ref="J11:K14" si="19">G11-D11</f>
        <v>6.4540000000000006</v>
      </c>
      <c r="K11" s="155">
        <f t="shared" si="19"/>
        <v>11.555999999999997</v>
      </c>
      <c r="M11" s="134">
        <f>ROUND(D11*(1+$G$1*2),2)*SUM(1+$M$1)</f>
        <v>42.591999999999999</v>
      </c>
      <c r="N11" s="134">
        <f>ROUND(E11*(1+$G$1*2),2)*SUM(1+$M$1)</f>
        <v>76.274000000000015</v>
      </c>
      <c r="P11" s="134">
        <f t="shared" ref="P11:Q14" si="20">M11-D11</f>
        <v>10.321999999999996</v>
      </c>
      <c r="Q11" s="134">
        <f t="shared" si="20"/>
        <v>18.494000000000014</v>
      </c>
      <c r="S11" s="141">
        <f t="shared" ref="S11:T14" si="21">AK11/G11</f>
        <v>9.9938022931515338E-2</v>
      </c>
      <c r="T11" s="141">
        <f t="shared" si="21"/>
        <v>9.9948078920041539E-2</v>
      </c>
      <c r="V11" s="41">
        <f t="shared" ref="V11:W14" si="22">SUM(D11/(1-$Y$1))</f>
        <v>64.540000000000006</v>
      </c>
      <c r="W11" s="41">
        <f t="shared" si="22"/>
        <v>115.56</v>
      </c>
      <c r="Y11" s="41">
        <f>ROUND(D11/(1-$Y$1)*1.2,2)</f>
        <v>77.45</v>
      </c>
      <c r="Z11" s="41">
        <f>ROUND(E11/(1-$Y$1)*1.2,2)</f>
        <v>138.66999999999999</v>
      </c>
      <c r="AB11" s="182">
        <f t="shared" ref="AB11:AC14" si="23">ROUNDDOWN(D11/(1-$Y$1)*1.2,1)</f>
        <v>77.400000000000006</v>
      </c>
      <c r="AC11" s="182">
        <f t="shared" si="23"/>
        <v>138.6</v>
      </c>
      <c r="AE11" s="40">
        <f t="shared" ref="AE11:AF14" si="24">AB11/1.2</f>
        <v>64.500000000000014</v>
      </c>
      <c r="AF11" s="40">
        <f t="shared" si="24"/>
        <v>115.5</v>
      </c>
      <c r="AH11" s="40">
        <f t="shared" ref="AH11:AI14" si="25">Y11-AB11</f>
        <v>4.9999999999997158E-2</v>
      </c>
      <c r="AI11" s="40">
        <f t="shared" si="25"/>
        <v>6.9999999999993179E-2</v>
      </c>
      <c r="AK11" s="130">
        <f t="shared" ref="AK11:AL14" si="26">ROUND(M11*(1-(1/(1+$AL$1))),2)</f>
        <v>3.87</v>
      </c>
      <c r="AL11" s="130">
        <f t="shared" si="26"/>
        <v>6.93</v>
      </c>
      <c r="AM11" s="40"/>
      <c r="AN11" s="40">
        <f t="shared" ref="AN11:AN14" si="27">SUM(V11-G11)-AH11</f>
        <v>25.766000000000005</v>
      </c>
      <c r="AO11" s="40">
        <f t="shared" ref="AO11:AO14" si="28">SUM(W11-H11)-AI11</f>
        <v>46.154000000000011</v>
      </c>
      <c r="AP11" s="40"/>
      <c r="AQ11" s="144">
        <f t="shared" ref="AQ11:AR14" si="29">(SUM(G11-D11)/D11*$Y$1)</f>
        <v>0.1</v>
      </c>
      <c r="AR11" s="144">
        <f t="shared" si="29"/>
        <v>9.9999999999999978E-2</v>
      </c>
      <c r="AS11" s="40"/>
      <c r="AT11" s="146">
        <f t="shared" ref="AT11:AU14" si="30">AN11/V11</f>
        <v>0.3992252866439418</v>
      </c>
      <c r="AU11" s="146">
        <f t="shared" si="30"/>
        <v>0.39939425406715134</v>
      </c>
      <c r="AV11" s="40"/>
      <c r="AW11" s="76">
        <f t="shared" ref="AW11:AX14" si="31">D11/V11</f>
        <v>0.5</v>
      </c>
      <c r="AX11" s="76">
        <f t="shared" si="31"/>
        <v>0.5</v>
      </c>
      <c r="AY11" s="42"/>
      <c r="AZ11" s="42">
        <f t="shared" ref="AZ11:BA14" si="32">J11+AN11</f>
        <v>32.220000000000006</v>
      </c>
      <c r="BA11" s="42">
        <f t="shared" si="32"/>
        <v>57.710000000000008</v>
      </c>
      <c r="BB11" s="42"/>
      <c r="BC11" s="76">
        <f t="shared" ref="BC11:BD14" si="33">AZ11/(D11/$Y$1)</f>
        <v>0.49922528664394178</v>
      </c>
      <c r="BD11" s="76">
        <f t="shared" si="33"/>
        <v>0.49939425406715132</v>
      </c>
      <c r="BE11" s="42"/>
    </row>
    <row r="12" spans="1:57" x14ac:dyDescent="0.25">
      <c r="A12" t="s">
        <v>134</v>
      </c>
      <c r="D12" s="162">
        <f>D11*1.5</f>
        <v>48.405000000000001</v>
      </c>
      <c r="E12" s="162">
        <f>E11*1.5</f>
        <v>86.67</v>
      </c>
      <c r="F12" s="81"/>
      <c r="G12" s="153">
        <f t="shared" si="18"/>
        <v>58.085999999999999</v>
      </c>
      <c r="H12" s="153">
        <f t="shared" si="18"/>
        <v>104.004</v>
      </c>
      <c r="J12" s="155">
        <f t="shared" si="19"/>
        <v>9.6809999999999974</v>
      </c>
      <c r="K12" s="155">
        <f t="shared" si="19"/>
        <v>17.334000000000003</v>
      </c>
      <c r="M12" s="134">
        <f>ROUND(D12*(1+$G$1*2),2)*SUM(1+$M$1)</f>
        <v>63.899000000000008</v>
      </c>
      <c r="N12" s="134">
        <f t="shared" ref="M12:N14" si="34">ROUND(E12*(1+$G$1*2),2)*SUM(1+$M$1)</f>
        <v>114.4</v>
      </c>
      <c r="P12" s="134">
        <f t="shared" si="20"/>
        <v>15.494000000000007</v>
      </c>
      <c r="Q12" s="134">
        <f t="shared" si="20"/>
        <v>27.730000000000004</v>
      </c>
      <c r="S12" s="141">
        <f t="shared" si="21"/>
        <v>0.10002410219329959</v>
      </c>
      <c r="T12" s="141">
        <f t="shared" si="21"/>
        <v>9.9996153994077144E-2</v>
      </c>
      <c r="V12" s="41">
        <f t="shared" si="22"/>
        <v>96.81</v>
      </c>
      <c r="W12" s="41">
        <f t="shared" si="22"/>
        <v>173.34</v>
      </c>
      <c r="Y12" s="41">
        <f t="shared" ref="Y12:Z14" si="35">ROUND(D12/(1-$Y$1)*1.2,2)</f>
        <v>116.17</v>
      </c>
      <c r="Z12" s="41">
        <f t="shared" si="35"/>
        <v>208.01</v>
      </c>
      <c r="AB12" s="182">
        <f t="shared" si="23"/>
        <v>116.1</v>
      </c>
      <c r="AC12" s="182">
        <f t="shared" si="23"/>
        <v>208</v>
      </c>
      <c r="AE12" s="40">
        <f t="shared" si="24"/>
        <v>96.75</v>
      </c>
      <c r="AF12" s="40">
        <f t="shared" si="24"/>
        <v>173.33333333333334</v>
      </c>
      <c r="AH12" s="40">
        <f t="shared" si="25"/>
        <v>7.000000000000739E-2</v>
      </c>
      <c r="AI12" s="40">
        <f t="shared" si="25"/>
        <v>9.9999999999909051E-3</v>
      </c>
      <c r="AK12" s="130">
        <f t="shared" si="26"/>
        <v>5.81</v>
      </c>
      <c r="AL12" s="130">
        <f t="shared" si="26"/>
        <v>10.4</v>
      </c>
      <c r="AM12" s="40"/>
      <c r="AN12" s="40">
        <f t="shared" si="27"/>
        <v>38.653999999999996</v>
      </c>
      <c r="AO12" s="40">
        <f t="shared" si="28"/>
        <v>69.326000000000008</v>
      </c>
      <c r="AP12" s="40"/>
      <c r="AQ12" s="144">
        <f t="shared" si="29"/>
        <v>9.9999999999999964E-2</v>
      </c>
      <c r="AR12" s="144">
        <f t="shared" si="29"/>
        <v>0.10000000000000002</v>
      </c>
      <c r="AS12" s="40"/>
      <c r="AT12" s="146">
        <f t="shared" si="30"/>
        <v>0.39927693420101223</v>
      </c>
      <c r="AU12" s="146">
        <f t="shared" si="30"/>
        <v>0.39994230991115731</v>
      </c>
      <c r="AV12" s="40"/>
      <c r="AW12" s="76">
        <f t="shared" si="31"/>
        <v>0.5</v>
      </c>
      <c r="AX12" s="76">
        <f t="shared" si="31"/>
        <v>0.5</v>
      </c>
      <c r="AY12" s="42"/>
      <c r="AZ12" s="42">
        <f t="shared" si="32"/>
        <v>48.334999999999994</v>
      </c>
      <c r="BA12" s="42">
        <f t="shared" si="32"/>
        <v>86.660000000000011</v>
      </c>
      <c r="BB12" s="42"/>
      <c r="BC12" s="76">
        <f t="shared" si="33"/>
        <v>0.49927693420101221</v>
      </c>
      <c r="BD12" s="76">
        <f t="shared" si="33"/>
        <v>0.49994230991115729</v>
      </c>
      <c r="BE12" s="42"/>
    </row>
    <row r="13" spans="1:57" x14ac:dyDescent="0.25">
      <c r="A13" t="s">
        <v>135</v>
      </c>
      <c r="D13" s="162">
        <v>54.13</v>
      </c>
      <c r="E13" s="162">
        <v>99.22</v>
      </c>
      <c r="F13" s="81"/>
      <c r="G13" s="153">
        <f t="shared" si="18"/>
        <v>64.956000000000003</v>
      </c>
      <c r="H13" s="153">
        <f t="shared" si="18"/>
        <v>119.06399999999999</v>
      </c>
      <c r="J13" s="155">
        <f t="shared" si="19"/>
        <v>10.826000000000001</v>
      </c>
      <c r="K13" s="155">
        <f t="shared" si="19"/>
        <v>19.843999999999994</v>
      </c>
      <c r="M13" s="134">
        <f t="shared" si="34"/>
        <v>71.456000000000003</v>
      </c>
      <c r="N13" s="134">
        <f t="shared" si="34"/>
        <v>130.96600000000001</v>
      </c>
      <c r="P13" s="134">
        <f t="shared" si="20"/>
        <v>17.326000000000001</v>
      </c>
      <c r="Q13" s="134">
        <f t="shared" si="20"/>
        <v>31.746000000000009</v>
      </c>
      <c r="S13" s="141">
        <f t="shared" si="21"/>
        <v>0.10006773816121682</v>
      </c>
      <c r="T13" s="141">
        <f t="shared" si="21"/>
        <v>0.10003023583954848</v>
      </c>
      <c r="V13" s="41">
        <f t="shared" si="22"/>
        <v>108.26</v>
      </c>
      <c r="W13" s="41">
        <f t="shared" si="22"/>
        <v>198.44</v>
      </c>
      <c r="Y13" s="41">
        <f t="shared" si="35"/>
        <v>129.91</v>
      </c>
      <c r="Z13" s="41">
        <f t="shared" si="35"/>
        <v>238.13</v>
      </c>
      <c r="AB13" s="182">
        <f t="shared" si="23"/>
        <v>129.9</v>
      </c>
      <c r="AC13" s="182">
        <f t="shared" si="23"/>
        <v>238.1</v>
      </c>
      <c r="AE13" s="40">
        <f t="shared" si="24"/>
        <v>108.25000000000001</v>
      </c>
      <c r="AF13" s="40">
        <f t="shared" si="24"/>
        <v>198.41666666666666</v>
      </c>
      <c r="AH13" s="40">
        <f t="shared" si="25"/>
        <v>9.9999999999909051E-3</v>
      </c>
      <c r="AI13" s="40">
        <f t="shared" si="25"/>
        <v>3.0000000000001137E-2</v>
      </c>
      <c r="AK13" s="130">
        <f t="shared" si="26"/>
        <v>6.5</v>
      </c>
      <c r="AL13" s="130">
        <f t="shared" si="26"/>
        <v>11.91</v>
      </c>
      <c r="AM13" s="40"/>
      <c r="AN13" s="40">
        <f t="shared" si="27"/>
        <v>43.294000000000011</v>
      </c>
      <c r="AO13" s="40">
        <f t="shared" si="28"/>
        <v>79.346000000000004</v>
      </c>
      <c r="AP13" s="40"/>
      <c r="AQ13" s="144">
        <f t="shared" si="29"/>
        <v>0.1</v>
      </c>
      <c r="AR13" s="144">
        <f t="shared" si="29"/>
        <v>9.9999999999999978E-2</v>
      </c>
      <c r="AS13" s="40"/>
      <c r="AT13" s="146">
        <f t="shared" si="30"/>
        <v>0.39990762978015898</v>
      </c>
      <c r="AU13" s="146">
        <f t="shared" si="30"/>
        <v>0.39984882080225764</v>
      </c>
      <c r="AV13" s="40"/>
      <c r="AW13" s="76">
        <f t="shared" si="31"/>
        <v>0.5</v>
      </c>
      <c r="AX13" s="76">
        <f t="shared" si="31"/>
        <v>0.5</v>
      </c>
      <c r="AY13" s="42"/>
      <c r="AZ13" s="42">
        <f t="shared" si="32"/>
        <v>54.120000000000012</v>
      </c>
      <c r="BA13" s="42">
        <f t="shared" si="32"/>
        <v>99.19</v>
      </c>
      <c r="BB13" s="42"/>
      <c r="BC13" s="76">
        <f t="shared" si="33"/>
        <v>0.49990762978015896</v>
      </c>
      <c r="BD13" s="76">
        <f t="shared" si="33"/>
        <v>0.49984882080225762</v>
      </c>
      <c r="BE13" s="42"/>
    </row>
    <row r="14" spans="1:57" x14ac:dyDescent="0.25">
      <c r="A14" t="s">
        <v>136</v>
      </c>
      <c r="D14" s="162">
        <v>56.43</v>
      </c>
      <c r="E14" s="162">
        <v>102.3</v>
      </c>
      <c r="F14" s="81"/>
      <c r="G14" s="153">
        <f t="shared" si="18"/>
        <v>67.715999999999994</v>
      </c>
      <c r="H14" s="153">
        <f t="shared" si="18"/>
        <v>122.75999999999999</v>
      </c>
      <c r="J14" s="155">
        <f t="shared" si="19"/>
        <v>11.285999999999994</v>
      </c>
      <c r="K14" s="155">
        <f t="shared" si="19"/>
        <v>20.459999999999994</v>
      </c>
      <c r="M14" s="134">
        <f t="shared" si="34"/>
        <v>74.492000000000004</v>
      </c>
      <c r="N14" s="134">
        <f t="shared" si="34"/>
        <v>135.03600000000003</v>
      </c>
      <c r="P14" s="134">
        <f t="shared" si="20"/>
        <v>18.062000000000005</v>
      </c>
      <c r="Q14" s="134">
        <f t="shared" si="20"/>
        <v>32.736000000000033</v>
      </c>
      <c r="S14" s="141">
        <f t="shared" si="21"/>
        <v>9.9976371906196473E-2</v>
      </c>
      <c r="T14" s="141">
        <f t="shared" si="21"/>
        <v>0.10003258390355164</v>
      </c>
      <c r="V14" s="41">
        <f t="shared" si="22"/>
        <v>112.86</v>
      </c>
      <c r="W14" s="41">
        <f t="shared" si="22"/>
        <v>204.6</v>
      </c>
      <c r="Y14" s="41">
        <f t="shared" si="35"/>
        <v>135.43</v>
      </c>
      <c r="Z14" s="41">
        <f t="shared" si="35"/>
        <v>245.52</v>
      </c>
      <c r="AB14" s="182">
        <f t="shared" si="23"/>
        <v>135.4</v>
      </c>
      <c r="AC14" s="182">
        <f t="shared" si="23"/>
        <v>245.5</v>
      </c>
      <c r="AE14" s="40">
        <f t="shared" si="24"/>
        <v>112.83333333333334</v>
      </c>
      <c r="AF14" s="40">
        <f t="shared" si="24"/>
        <v>204.58333333333334</v>
      </c>
      <c r="AH14" s="40">
        <f t="shared" si="25"/>
        <v>3.0000000000001137E-2</v>
      </c>
      <c r="AI14" s="40">
        <f t="shared" si="25"/>
        <v>2.0000000000010232E-2</v>
      </c>
      <c r="AK14" s="130">
        <f t="shared" si="26"/>
        <v>6.77</v>
      </c>
      <c r="AL14" s="130">
        <f t="shared" si="26"/>
        <v>12.28</v>
      </c>
      <c r="AM14" s="40"/>
      <c r="AN14" s="40">
        <f t="shared" si="27"/>
        <v>45.114000000000004</v>
      </c>
      <c r="AO14" s="40">
        <f t="shared" si="28"/>
        <v>81.819999999999993</v>
      </c>
      <c r="AP14" s="40"/>
      <c r="AQ14" s="144">
        <f t="shared" si="29"/>
        <v>9.999999999999995E-2</v>
      </c>
      <c r="AR14" s="144">
        <f t="shared" si="29"/>
        <v>9.9999999999999978E-2</v>
      </c>
      <c r="AS14" s="40"/>
      <c r="AT14" s="146">
        <f t="shared" si="30"/>
        <v>0.39973418394471028</v>
      </c>
      <c r="AU14" s="146">
        <f t="shared" si="30"/>
        <v>0.39990224828934506</v>
      </c>
      <c r="AV14" s="40"/>
      <c r="AW14" s="76">
        <f t="shared" si="31"/>
        <v>0.5</v>
      </c>
      <c r="AX14" s="76">
        <f t="shared" si="31"/>
        <v>0.5</v>
      </c>
      <c r="AY14" s="42"/>
      <c r="AZ14" s="42">
        <f t="shared" si="32"/>
        <v>56.4</v>
      </c>
      <c r="BA14" s="42">
        <f t="shared" si="32"/>
        <v>102.27999999999999</v>
      </c>
      <c r="BB14" s="42"/>
      <c r="BC14" s="76">
        <f t="shared" si="33"/>
        <v>0.49973418394471025</v>
      </c>
      <c r="BD14" s="76">
        <f t="shared" si="33"/>
        <v>0.49990224828934499</v>
      </c>
      <c r="BE14" s="42"/>
    </row>
    <row r="15" spans="1:57" x14ac:dyDescent="0.25">
      <c r="A15"/>
      <c r="D15" s="150"/>
      <c r="E15" s="150"/>
      <c r="F15" s="41"/>
      <c r="G15" s="153"/>
      <c r="H15" s="153"/>
      <c r="J15" s="154"/>
      <c r="K15" s="154"/>
      <c r="M15" s="134"/>
      <c r="N15" s="134"/>
      <c r="P15" s="134"/>
      <c r="Q15" s="134"/>
      <c r="S15" s="140"/>
      <c r="T15" s="140"/>
      <c r="V15" s="40"/>
      <c r="W15" s="40"/>
      <c r="Y15" s="41"/>
      <c r="Z15" s="41"/>
      <c r="AK15" s="130"/>
      <c r="AL15" s="130"/>
      <c r="AM15" s="40"/>
      <c r="AN15" s="40"/>
      <c r="AO15" s="40"/>
      <c r="AP15" s="40"/>
      <c r="AQ15" s="145"/>
      <c r="AR15" s="145"/>
      <c r="AS15" s="40"/>
      <c r="AT15" s="146"/>
      <c r="AU15" s="146"/>
      <c r="AV15" s="40"/>
      <c r="AW15" s="76"/>
      <c r="AX15" s="76"/>
      <c r="AY15" s="42"/>
      <c r="AZ15" s="42"/>
      <c r="BA15" s="42"/>
      <c r="BB15" s="42"/>
      <c r="BC15" s="76"/>
      <c r="BD15" s="76"/>
      <c r="BE15" s="42"/>
    </row>
    <row r="16" spans="1:57" x14ac:dyDescent="0.25">
      <c r="A16" s="167" t="s">
        <v>138</v>
      </c>
      <c r="B16" s="4"/>
      <c r="D16" s="149"/>
      <c r="E16" s="149"/>
      <c r="F16" s="41"/>
      <c r="G16" s="153"/>
      <c r="H16" s="153"/>
      <c r="J16" s="154"/>
      <c r="K16" s="154"/>
      <c r="M16" s="134"/>
      <c r="N16" s="134"/>
      <c r="P16" s="134"/>
      <c r="Q16" s="134"/>
      <c r="S16" s="140"/>
      <c r="T16" s="140"/>
      <c r="V16" s="40"/>
      <c r="W16" s="40"/>
      <c r="Y16" s="41"/>
      <c r="Z16" s="41"/>
      <c r="AK16" s="130"/>
      <c r="AL16" s="130"/>
      <c r="AM16" s="40"/>
      <c r="AN16" s="40"/>
      <c r="AO16" s="40"/>
      <c r="AP16" s="40"/>
      <c r="AQ16" s="145"/>
      <c r="AR16" s="145"/>
      <c r="AS16" s="40"/>
      <c r="AT16" s="146"/>
      <c r="AU16" s="146"/>
      <c r="AV16" s="40"/>
      <c r="AW16" s="76"/>
      <c r="AX16" s="76"/>
      <c r="AY16" s="42"/>
      <c r="AZ16" s="42"/>
      <c r="BA16" s="42"/>
      <c r="BB16" s="42"/>
      <c r="BC16" s="76"/>
      <c r="BD16" s="76"/>
      <c r="BE16" s="42"/>
    </row>
    <row r="17" spans="1:57" x14ac:dyDescent="0.25">
      <c r="A17" t="s">
        <v>133</v>
      </c>
      <c r="D17" s="162">
        <v>72.73</v>
      </c>
      <c r="E17" s="162">
        <v>137.62</v>
      </c>
      <c r="F17" s="81"/>
      <c r="G17" s="153">
        <f t="shared" ref="G17:H20" si="36">D17*SUM(1+$G$1/$Y$1)</f>
        <v>87.275999999999996</v>
      </c>
      <c r="H17" s="153">
        <f t="shared" si="36"/>
        <v>165.14400000000001</v>
      </c>
      <c r="I17" s="83"/>
      <c r="J17" s="155">
        <f t="shared" ref="J17:K20" si="37">G17-D17</f>
        <v>14.545999999999992</v>
      </c>
      <c r="K17" s="155">
        <f t="shared" si="37"/>
        <v>27.524000000000001</v>
      </c>
      <c r="L17" s="83"/>
      <c r="M17" s="134">
        <f>ROUND(D17*(1+$G$1*2),2)*SUM(1+$M$1)</f>
        <v>96.00800000000001</v>
      </c>
      <c r="N17" s="134">
        <f>ROUND(E17*(1+$G$1*2),2)*SUM(1+$M$1)</f>
        <v>181.654</v>
      </c>
      <c r="P17" s="134">
        <f t="shared" ref="P17:Q20" si="38">M17-D17</f>
        <v>23.278000000000006</v>
      </c>
      <c r="Q17" s="134">
        <f t="shared" si="38"/>
        <v>44.033999999999992</v>
      </c>
      <c r="S17" s="141">
        <f t="shared" ref="S17:T20" si="39">AK17/G17</f>
        <v>0.10002749896878868</v>
      </c>
      <c r="T17" s="141">
        <f t="shared" si="39"/>
        <v>9.9973356585767573E-2</v>
      </c>
      <c r="V17" s="41">
        <f t="shared" ref="V17:W20" si="40">SUM(D17/(1-$Y$1))</f>
        <v>145.46</v>
      </c>
      <c r="W17" s="41">
        <f t="shared" si="40"/>
        <v>275.24</v>
      </c>
      <c r="Y17" s="41">
        <f>ROUND(D17/(1-$Y$1)*1.2,2)</f>
        <v>174.55</v>
      </c>
      <c r="Z17" s="41">
        <f>ROUND(E17/(1-$Y$1)*1.2,2)</f>
        <v>330.29</v>
      </c>
      <c r="AB17" s="182">
        <f t="shared" ref="AB17:AC20" si="41">ROUNDDOWN(D17/(1-$Y$1)*1.2,1)</f>
        <v>174.5</v>
      </c>
      <c r="AC17" s="182">
        <f t="shared" si="41"/>
        <v>330.2</v>
      </c>
      <c r="AE17" s="40">
        <f t="shared" ref="AE17:AF20" si="42">AB17/1.2</f>
        <v>145.41666666666669</v>
      </c>
      <c r="AF17" s="40">
        <f t="shared" si="42"/>
        <v>275.16666666666669</v>
      </c>
      <c r="AH17" s="40">
        <f t="shared" ref="AH17:AI20" si="43">Y17-AB17</f>
        <v>5.0000000000011369E-2</v>
      </c>
      <c r="AI17" s="40">
        <f t="shared" si="43"/>
        <v>9.0000000000031832E-2</v>
      </c>
      <c r="AK17" s="130">
        <f t="shared" ref="AK17:AL20" si="44">ROUND(M17*(1-(1/(1+$AL$1))),2)</f>
        <v>8.73</v>
      </c>
      <c r="AL17" s="130">
        <f t="shared" si="44"/>
        <v>16.510000000000002</v>
      </c>
      <c r="AM17" s="40"/>
      <c r="AN17" s="40">
        <f t="shared" ref="AN17:AN20" si="45">SUM(V17-G17)-AH17</f>
        <v>58.134</v>
      </c>
      <c r="AO17" s="40">
        <f t="shared" ref="AO17:AO20" si="46">SUM(W17-H17)-AI17</f>
        <v>110.00599999999997</v>
      </c>
      <c r="AP17" s="40"/>
      <c r="AQ17" s="144">
        <f t="shared" ref="AQ17:AR20" si="47">(SUM(G17-D17)/D17*$Y$1)</f>
        <v>9.9999999999999936E-2</v>
      </c>
      <c r="AR17" s="144">
        <f t="shared" si="47"/>
        <v>0.1</v>
      </c>
      <c r="AS17" s="40"/>
      <c r="AT17" s="146">
        <f t="shared" ref="AT17:AU20" si="48">AN17/V17</f>
        <v>0.39965626289014161</v>
      </c>
      <c r="AU17" s="146">
        <f t="shared" si="48"/>
        <v>0.39967301264351102</v>
      </c>
      <c r="AV17" s="40"/>
      <c r="AW17" s="76">
        <f t="shared" ref="AW17:AX20" si="49">D17/V17</f>
        <v>0.5</v>
      </c>
      <c r="AX17" s="76">
        <f t="shared" si="49"/>
        <v>0.5</v>
      </c>
      <c r="AY17" s="42"/>
      <c r="AZ17" s="42">
        <f t="shared" ref="AZ17:BA20" si="50">J17+AN17</f>
        <v>72.679999999999993</v>
      </c>
      <c r="BA17" s="42">
        <f t="shared" si="50"/>
        <v>137.52999999999997</v>
      </c>
      <c r="BB17" s="42"/>
      <c r="BC17" s="76">
        <f t="shared" ref="BC17:BD20" si="51">AZ17/(D17/$Y$1)</f>
        <v>0.49965626289014153</v>
      </c>
      <c r="BD17" s="76">
        <f t="shared" si="51"/>
        <v>0.49967301264351099</v>
      </c>
      <c r="BE17" s="42"/>
    </row>
    <row r="18" spans="1:57" x14ac:dyDescent="0.25">
      <c r="A18" t="s">
        <v>134</v>
      </c>
      <c r="D18" s="162">
        <f>D17*1.5</f>
        <v>109.095</v>
      </c>
      <c r="E18" s="162">
        <f>E17*1.5</f>
        <v>206.43</v>
      </c>
      <c r="F18" s="81"/>
      <c r="G18" s="153">
        <f t="shared" si="36"/>
        <v>130.91399999999999</v>
      </c>
      <c r="H18" s="153">
        <f t="shared" si="36"/>
        <v>247.71600000000001</v>
      </c>
      <c r="I18" s="83"/>
      <c r="J18" s="155">
        <f t="shared" si="37"/>
        <v>21.818999999999988</v>
      </c>
      <c r="K18" s="155">
        <f t="shared" si="37"/>
        <v>41.286000000000001</v>
      </c>
      <c r="L18" s="83"/>
      <c r="M18" s="134">
        <f t="shared" ref="M18:N20" si="52">ROUND(D18*(1+$G$1*2),2)*SUM(1+$M$1)</f>
        <v>144.001</v>
      </c>
      <c r="N18" s="134">
        <f t="shared" si="52"/>
        <v>272.49200000000002</v>
      </c>
      <c r="P18" s="134">
        <f t="shared" si="38"/>
        <v>34.906000000000006</v>
      </c>
      <c r="Q18" s="134">
        <f t="shared" si="38"/>
        <v>66.062000000000012</v>
      </c>
      <c r="S18" s="141">
        <f t="shared" si="39"/>
        <v>9.9989305956582189E-2</v>
      </c>
      <c r="T18" s="141">
        <f t="shared" si="39"/>
        <v>9.9993540990489099E-2</v>
      </c>
      <c r="V18" s="41">
        <f t="shared" si="40"/>
        <v>218.19</v>
      </c>
      <c r="W18" s="41">
        <f t="shared" si="40"/>
        <v>412.86</v>
      </c>
      <c r="Y18" s="41">
        <f t="shared" ref="Y18:Z20" si="53">ROUND(D18/(1-$Y$1)*1.2,2)</f>
        <v>261.83</v>
      </c>
      <c r="Z18" s="41">
        <f t="shared" si="53"/>
        <v>495.43</v>
      </c>
      <c r="AB18" s="182">
        <f t="shared" si="41"/>
        <v>261.8</v>
      </c>
      <c r="AC18" s="182">
        <f t="shared" si="41"/>
        <v>495.4</v>
      </c>
      <c r="AE18" s="40">
        <f t="shared" si="42"/>
        <v>218.16666666666669</v>
      </c>
      <c r="AF18" s="40">
        <f t="shared" si="42"/>
        <v>412.83333333333331</v>
      </c>
      <c r="AH18" s="40">
        <f t="shared" si="43"/>
        <v>2.9999999999972715E-2</v>
      </c>
      <c r="AI18" s="40">
        <f t="shared" si="43"/>
        <v>3.0000000000029559E-2</v>
      </c>
      <c r="AK18" s="130">
        <f t="shared" si="44"/>
        <v>13.09</v>
      </c>
      <c r="AL18" s="130">
        <f t="shared" si="44"/>
        <v>24.77</v>
      </c>
      <c r="AM18" s="40"/>
      <c r="AN18" s="40">
        <f t="shared" si="45"/>
        <v>87.246000000000038</v>
      </c>
      <c r="AO18" s="40">
        <f t="shared" si="46"/>
        <v>165.11399999999998</v>
      </c>
      <c r="AP18" s="40"/>
      <c r="AQ18" s="144">
        <f t="shared" si="47"/>
        <v>9.999999999999995E-2</v>
      </c>
      <c r="AR18" s="144">
        <f t="shared" si="47"/>
        <v>0.1</v>
      </c>
      <c r="AS18" s="40"/>
      <c r="AT18" s="146">
        <f t="shared" si="48"/>
        <v>0.39986250515605681</v>
      </c>
      <c r="AU18" s="146">
        <f t="shared" si="48"/>
        <v>0.39992733614300241</v>
      </c>
      <c r="AV18" s="40"/>
      <c r="AW18" s="76">
        <f t="shared" si="49"/>
        <v>0.5</v>
      </c>
      <c r="AX18" s="76">
        <f t="shared" si="49"/>
        <v>0.5</v>
      </c>
      <c r="AY18" s="42"/>
      <c r="AZ18" s="42">
        <f t="shared" si="50"/>
        <v>109.06500000000003</v>
      </c>
      <c r="BA18" s="42">
        <f t="shared" si="50"/>
        <v>206.39999999999998</v>
      </c>
      <c r="BB18" s="42"/>
      <c r="BC18" s="76">
        <f t="shared" si="51"/>
        <v>0.49986250515605679</v>
      </c>
      <c r="BD18" s="76">
        <f t="shared" si="51"/>
        <v>0.49992733614300239</v>
      </c>
      <c r="BE18" s="42"/>
    </row>
    <row r="19" spans="1:57" x14ac:dyDescent="0.25">
      <c r="A19" t="s">
        <v>135</v>
      </c>
      <c r="D19" s="162">
        <v>116.56</v>
      </c>
      <c r="E19" s="162">
        <v>224.69</v>
      </c>
      <c r="F19" s="81"/>
      <c r="G19" s="153">
        <f t="shared" si="36"/>
        <v>139.87199999999999</v>
      </c>
      <c r="H19" s="153">
        <f t="shared" si="36"/>
        <v>269.62799999999999</v>
      </c>
      <c r="J19" s="155">
        <f t="shared" si="37"/>
        <v>23.311999999999983</v>
      </c>
      <c r="K19" s="155">
        <f t="shared" si="37"/>
        <v>44.937999999999988</v>
      </c>
      <c r="M19" s="134">
        <f t="shared" si="52"/>
        <v>153.85700000000003</v>
      </c>
      <c r="N19" s="134">
        <f t="shared" si="52"/>
        <v>296.59300000000002</v>
      </c>
      <c r="P19" s="134">
        <f t="shared" si="38"/>
        <v>37.297000000000025</v>
      </c>
      <c r="Q19" s="134">
        <f t="shared" si="38"/>
        <v>71.90300000000002</v>
      </c>
      <c r="S19" s="141">
        <f t="shared" si="39"/>
        <v>0.10002001830244796</v>
      </c>
      <c r="T19" s="141">
        <f t="shared" si="39"/>
        <v>9.9989615321850855E-2</v>
      </c>
      <c r="V19" s="41">
        <f t="shared" si="40"/>
        <v>233.12</v>
      </c>
      <c r="W19" s="41">
        <f t="shared" si="40"/>
        <v>449.38</v>
      </c>
      <c r="Y19" s="41">
        <f t="shared" si="53"/>
        <v>279.74</v>
      </c>
      <c r="Z19" s="41">
        <f t="shared" si="53"/>
        <v>539.26</v>
      </c>
      <c r="AB19" s="182">
        <f t="shared" si="41"/>
        <v>279.7</v>
      </c>
      <c r="AC19" s="182">
        <f t="shared" si="41"/>
        <v>539.20000000000005</v>
      </c>
      <c r="AE19" s="40">
        <f t="shared" si="42"/>
        <v>233.08333333333334</v>
      </c>
      <c r="AF19" s="40">
        <f t="shared" si="42"/>
        <v>449.33333333333337</v>
      </c>
      <c r="AH19" s="40">
        <f t="shared" si="43"/>
        <v>4.0000000000020464E-2</v>
      </c>
      <c r="AI19" s="40">
        <f t="shared" si="43"/>
        <v>5.999999999994543E-2</v>
      </c>
      <c r="AK19" s="130">
        <f t="shared" si="44"/>
        <v>13.99</v>
      </c>
      <c r="AL19" s="130">
        <f t="shared" si="44"/>
        <v>26.96</v>
      </c>
      <c r="AM19" s="40"/>
      <c r="AN19" s="40">
        <f t="shared" si="45"/>
        <v>93.207999999999998</v>
      </c>
      <c r="AO19" s="40">
        <f t="shared" si="46"/>
        <v>179.69200000000006</v>
      </c>
      <c r="AP19" s="40"/>
      <c r="AQ19" s="144">
        <f t="shared" si="47"/>
        <v>9.9999999999999922E-2</v>
      </c>
      <c r="AR19" s="144">
        <f t="shared" si="47"/>
        <v>9.9999999999999978E-2</v>
      </c>
      <c r="AS19" s="40"/>
      <c r="AT19" s="146">
        <f t="shared" si="48"/>
        <v>0.3998284145504461</v>
      </c>
      <c r="AU19" s="146">
        <f t="shared" si="48"/>
        <v>0.39986648270951103</v>
      </c>
      <c r="AV19" s="40"/>
      <c r="AW19" s="76">
        <f t="shared" si="49"/>
        <v>0.5</v>
      </c>
      <c r="AX19" s="76">
        <f t="shared" si="49"/>
        <v>0.5</v>
      </c>
      <c r="AY19" s="42"/>
      <c r="AZ19" s="42">
        <f t="shared" si="50"/>
        <v>116.51999999999998</v>
      </c>
      <c r="BA19" s="42">
        <f t="shared" si="50"/>
        <v>224.63000000000005</v>
      </c>
      <c r="BB19" s="42"/>
      <c r="BC19" s="76">
        <f t="shared" si="51"/>
        <v>0.49982841455044602</v>
      </c>
      <c r="BD19" s="76">
        <f t="shared" si="51"/>
        <v>0.49986648270951101</v>
      </c>
      <c r="BE19" s="42"/>
    </row>
    <row r="20" spans="1:57" x14ac:dyDescent="0.25">
      <c r="A20" t="s">
        <v>136</v>
      </c>
      <c r="D20" s="162">
        <v>126.54</v>
      </c>
      <c r="E20" s="162">
        <v>240.93</v>
      </c>
      <c r="F20" s="81"/>
      <c r="G20" s="153">
        <f t="shared" si="36"/>
        <v>151.84800000000001</v>
      </c>
      <c r="H20" s="153">
        <f t="shared" si="36"/>
        <v>289.11599999999999</v>
      </c>
      <c r="J20" s="155">
        <f t="shared" si="37"/>
        <v>25.308000000000007</v>
      </c>
      <c r="K20" s="155">
        <f t="shared" si="37"/>
        <v>48.185999999999979</v>
      </c>
      <c r="M20" s="134">
        <f t="shared" si="52"/>
        <v>167.035</v>
      </c>
      <c r="N20" s="134">
        <f t="shared" si="52"/>
        <v>318.03200000000004</v>
      </c>
      <c r="P20" s="134">
        <f t="shared" si="38"/>
        <v>40.49499999999999</v>
      </c>
      <c r="Q20" s="134">
        <f t="shared" si="38"/>
        <v>77.102000000000032</v>
      </c>
      <c r="S20" s="141">
        <f t="shared" si="39"/>
        <v>0.10003424477108687</v>
      </c>
      <c r="T20" s="141">
        <f t="shared" si="39"/>
        <v>9.9994465889124098E-2</v>
      </c>
      <c r="V20" s="41">
        <f t="shared" si="40"/>
        <v>253.08</v>
      </c>
      <c r="W20" s="41">
        <f t="shared" si="40"/>
        <v>481.86</v>
      </c>
      <c r="Y20" s="41">
        <f t="shared" si="53"/>
        <v>303.7</v>
      </c>
      <c r="Z20" s="41">
        <f t="shared" si="53"/>
        <v>578.23</v>
      </c>
      <c r="AB20" s="182">
        <f t="shared" si="41"/>
        <v>303.60000000000002</v>
      </c>
      <c r="AC20" s="182">
        <f t="shared" si="41"/>
        <v>578.20000000000005</v>
      </c>
      <c r="AE20" s="40">
        <f t="shared" si="42"/>
        <v>253.00000000000003</v>
      </c>
      <c r="AF20" s="40">
        <f t="shared" si="42"/>
        <v>481.83333333333337</v>
      </c>
      <c r="AH20" s="40">
        <f t="shared" si="43"/>
        <v>9.9999999999965894E-2</v>
      </c>
      <c r="AI20" s="40">
        <f t="shared" si="43"/>
        <v>2.9999999999972715E-2</v>
      </c>
      <c r="AK20" s="130">
        <f t="shared" si="44"/>
        <v>15.19</v>
      </c>
      <c r="AL20" s="130">
        <f t="shared" si="44"/>
        <v>28.91</v>
      </c>
      <c r="AM20" s="40"/>
      <c r="AN20" s="40">
        <f t="shared" si="45"/>
        <v>101.13200000000003</v>
      </c>
      <c r="AO20" s="40">
        <f t="shared" si="46"/>
        <v>192.71400000000006</v>
      </c>
      <c r="AP20" s="40"/>
      <c r="AQ20" s="144">
        <f t="shared" si="47"/>
        <v>0.10000000000000002</v>
      </c>
      <c r="AR20" s="144">
        <f t="shared" si="47"/>
        <v>9.999999999999995E-2</v>
      </c>
      <c r="AS20" s="40"/>
      <c r="AT20" s="146">
        <f t="shared" si="48"/>
        <v>0.39960486802592077</v>
      </c>
      <c r="AU20" s="146">
        <f t="shared" si="48"/>
        <v>0.39993774125264608</v>
      </c>
      <c r="AV20" s="40"/>
      <c r="AW20" s="76">
        <f t="shared" si="49"/>
        <v>0.5</v>
      </c>
      <c r="AX20" s="76">
        <f t="shared" si="49"/>
        <v>0.5</v>
      </c>
      <c r="AY20" s="42"/>
      <c r="AZ20" s="42">
        <f t="shared" si="50"/>
        <v>126.44000000000004</v>
      </c>
      <c r="BA20" s="42">
        <f t="shared" si="50"/>
        <v>240.90000000000003</v>
      </c>
      <c r="BB20" s="42"/>
      <c r="BC20" s="76">
        <f t="shared" si="51"/>
        <v>0.4996048680259208</v>
      </c>
      <c r="BD20" s="76">
        <f t="shared" si="51"/>
        <v>0.49993774125264606</v>
      </c>
      <c r="BE20" s="42"/>
    </row>
    <row r="21" spans="1:57" x14ac:dyDescent="0.25">
      <c r="C21" s="104"/>
      <c r="D21" s="104"/>
      <c r="H21" s="40"/>
      <c r="I21" s="75"/>
      <c r="J21" s="75"/>
      <c r="K21" s="75"/>
      <c r="L21" s="75"/>
      <c r="V21" s="40"/>
      <c r="X21" s="41"/>
      <c r="Y21" s="40"/>
      <c r="Z21" s="40"/>
      <c r="AK21" s="76"/>
      <c r="AL21" s="76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76"/>
      <c r="AX21" s="76"/>
      <c r="AY21" s="42"/>
      <c r="AZ21" s="42"/>
      <c r="BA21" s="42"/>
      <c r="BB21" s="42"/>
      <c r="BC21" s="76"/>
      <c r="BD21" s="76"/>
      <c r="BE21" s="40"/>
    </row>
    <row r="22" spans="1:57" x14ac:dyDescent="0.25">
      <c r="A22" s="4" t="s">
        <v>139</v>
      </c>
      <c r="X22" s="41"/>
      <c r="Y22" s="40"/>
      <c r="Z22" s="40"/>
      <c r="AK22" s="76"/>
      <c r="AL22" s="76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76"/>
      <c r="AX22" s="76"/>
      <c r="AY22" s="42"/>
      <c r="AZ22" s="42"/>
      <c r="BA22" s="42"/>
      <c r="BB22" s="42"/>
      <c r="BC22" s="76"/>
      <c r="BD22" s="76"/>
      <c r="BE22" s="40"/>
    </row>
    <row r="23" spans="1:57" x14ac:dyDescent="0.25">
      <c r="A23" s="53"/>
      <c r="X23" s="41"/>
      <c r="Y23" s="40"/>
      <c r="Z23" s="40"/>
      <c r="AK23" s="76"/>
      <c r="AL23" s="76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76"/>
      <c r="AX23" s="76"/>
      <c r="AY23" s="42"/>
      <c r="AZ23" s="42"/>
      <c r="BA23" s="42"/>
      <c r="BB23" s="42"/>
      <c r="BC23" s="76"/>
      <c r="BD23" s="76"/>
      <c r="BE23" s="40"/>
    </row>
    <row r="24" spans="1:57" x14ac:dyDescent="0.25">
      <c r="A24" s="100" t="s">
        <v>132</v>
      </c>
      <c r="B24" s="52" t="s">
        <v>140</v>
      </c>
      <c r="D24" s="55" t="s">
        <v>141</v>
      </c>
      <c r="E24" s="55"/>
      <c r="F24" s="55"/>
    </row>
    <row r="25" spans="1:57" x14ac:dyDescent="0.25">
      <c r="A25" s="100" t="s">
        <v>137</v>
      </c>
      <c r="B25" s="52" t="s">
        <v>140</v>
      </c>
      <c r="F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</row>
    <row r="26" spans="1:57" x14ac:dyDescent="0.25">
      <c r="A26" s="100" t="s">
        <v>142</v>
      </c>
      <c r="B26" s="52" t="s">
        <v>140</v>
      </c>
      <c r="F26" s="40"/>
      <c r="G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</row>
    <row r="27" spans="1:57" x14ac:dyDescent="0.25">
      <c r="F27" s="40"/>
      <c r="G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</row>
    <row r="28" spans="1:57" ht="30" x14ac:dyDescent="0.25">
      <c r="A28" s="99" t="s">
        <v>143</v>
      </c>
      <c r="B28" s="52" t="s">
        <v>144</v>
      </c>
      <c r="F28" s="40"/>
      <c r="G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</row>
    <row r="29" spans="1:57" x14ac:dyDescent="0.25">
      <c r="G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</row>
    <row r="30" spans="1:57" ht="45" customHeight="1" x14ac:dyDescent="0.25">
      <c r="A30" s="159" t="s">
        <v>145</v>
      </c>
      <c r="B30" s="246" t="s">
        <v>146</v>
      </c>
      <c r="C30" s="246"/>
      <c r="D30" s="246"/>
      <c r="E30" s="246"/>
      <c r="F30" s="99"/>
      <c r="AA30" s="40"/>
      <c r="AB30" s="40"/>
      <c r="AC30" s="40"/>
      <c r="AD30" s="40"/>
      <c r="AE30" s="40"/>
      <c r="AF30" s="40"/>
      <c r="AG30" s="40"/>
      <c r="AH30" s="40"/>
      <c r="AI30" s="40"/>
      <c r="AJ30" s="40"/>
    </row>
    <row r="31" spans="1:57" ht="45" customHeight="1" x14ac:dyDescent="0.25">
      <c r="A31" s="159" t="s">
        <v>147</v>
      </c>
      <c r="B31" s="246" t="s">
        <v>148</v>
      </c>
      <c r="C31" s="246"/>
      <c r="D31" s="246"/>
      <c r="E31" s="246"/>
      <c r="F31" s="246"/>
      <c r="AA31" s="40"/>
      <c r="AB31" s="40"/>
      <c r="AC31" s="40"/>
      <c r="AD31" s="40"/>
      <c r="AE31" s="40"/>
      <c r="AF31" s="40"/>
      <c r="AG31" s="40"/>
      <c r="AH31" s="40"/>
      <c r="AI31" s="40"/>
      <c r="AJ31" s="40"/>
    </row>
    <row r="32" spans="1:57" x14ac:dyDescent="0.25"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</row>
    <row r="33" spans="1:57" x14ac:dyDescent="0.25">
      <c r="A33" s="100" t="s">
        <v>149</v>
      </c>
      <c r="B33" s="101" t="s">
        <v>150</v>
      </c>
      <c r="C33" s="52"/>
      <c r="AA33" s="40"/>
      <c r="AB33" s="40"/>
      <c r="AC33" s="40"/>
      <c r="AD33" s="40"/>
      <c r="AE33" s="40"/>
      <c r="AF33" s="40"/>
      <c r="AG33" s="40"/>
      <c r="AH33" s="40"/>
      <c r="AI33" s="40"/>
      <c r="AJ33" s="40"/>
    </row>
    <row r="34" spans="1:57" x14ac:dyDescent="0.25">
      <c r="A34" s="100" t="s">
        <v>151</v>
      </c>
      <c r="B34" s="101" t="s">
        <v>152</v>
      </c>
      <c r="C34" s="52"/>
    </row>
    <row r="35" spans="1:57" x14ac:dyDescent="0.25">
      <c r="A35" s="100" t="s">
        <v>153</v>
      </c>
      <c r="B35" s="101" t="s">
        <v>154</v>
      </c>
      <c r="C35" s="52"/>
    </row>
    <row r="36" spans="1:57" s="96" customFormat="1" ht="45" customHeight="1" x14ac:dyDescent="0.25">
      <c r="D36" s="244" t="s">
        <v>128</v>
      </c>
      <c r="E36" s="244"/>
      <c r="F36" s="95"/>
      <c r="G36" s="245" t="s">
        <v>3</v>
      </c>
      <c r="H36" s="245"/>
      <c r="I36" s="18"/>
      <c r="J36" s="245" t="s">
        <v>4</v>
      </c>
      <c r="K36" s="245"/>
      <c r="L36" s="18"/>
      <c r="M36" s="219" t="s">
        <v>5</v>
      </c>
      <c r="N36" s="219"/>
      <c r="O36" s="18"/>
      <c r="P36" s="219" t="s">
        <v>6</v>
      </c>
      <c r="Q36" s="219"/>
      <c r="R36" s="18"/>
      <c r="S36" s="219" t="s">
        <v>7</v>
      </c>
      <c r="T36" s="219"/>
      <c r="U36" s="18"/>
      <c r="V36" s="214" t="s">
        <v>8</v>
      </c>
      <c r="W36" s="214"/>
      <c r="X36" s="52"/>
      <c r="Y36" s="211" t="s">
        <v>9</v>
      </c>
      <c r="Z36" s="211"/>
      <c r="AA36" s="1"/>
      <c r="AB36" s="215" t="s">
        <v>10</v>
      </c>
      <c r="AC36" s="215"/>
      <c r="AD36" s="1"/>
      <c r="AE36" s="211" t="s">
        <v>11</v>
      </c>
      <c r="AF36" s="211"/>
      <c r="AG36" s="1"/>
      <c r="AH36" s="211" t="s">
        <v>12</v>
      </c>
      <c r="AI36" s="211"/>
      <c r="AJ36" s="1"/>
      <c r="AK36" s="211" t="s">
        <v>13</v>
      </c>
      <c r="AL36" s="211"/>
      <c r="AM36" s="1"/>
      <c r="AN36" s="211" t="s">
        <v>14</v>
      </c>
      <c r="AO36" s="211"/>
      <c r="AP36" s="1"/>
      <c r="AQ36" s="212" t="s">
        <v>15</v>
      </c>
      <c r="AR36" s="212"/>
      <c r="AS36" s="1"/>
      <c r="AT36" s="211" t="s">
        <v>16</v>
      </c>
      <c r="AU36" s="211"/>
      <c r="AV36" s="1"/>
      <c r="AW36" s="213" t="s">
        <v>17</v>
      </c>
      <c r="AX36" s="213"/>
      <c r="AY36" s="1"/>
      <c r="AZ36" s="213" t="s">
        <v>18</v>
      </c>
      <c r="BA36" s="213"/>
      <c r="BB36" s="1"/>
      <c r="BC36" s="213" t="s">
        <v>129</v>
      </c>
      <c r="BD36" s="213"/>
      <c r="BE36" s="1"/>
    </row>
    <row r="37" spans="1:57" s="96" customFormat="1" ht="45" customHeight="1" x14ac:dyDescent="0.25">
      <c r="D37" s="195" t="s">
        <v>130</v>
      </c>
      <c r="E37" s="147" t="s">
        <v>131</v>
      </c>
      <c r="F37" s="35"/>
      <c r="G37" s="151" t="s">
        <v>130</v>
      </c>
      <c r="H37" s="152" t="s">
        <v>131</v>
      </c>
      <c r="I37" s="52"/>
      <c r="J37" s="151" t="s">
        <v>130</v>
      </c>
      <c r="K37" s="152" t="s">
        <v>131</v>
      </c>
      <c r="L37" s="52"/>
      <c r="M37" s="132" t="s">
        <v>130</v>
      </c>
      <c r="N37" s="133" t="s">
        <v>131</v>
      </c>
      <c r="O37" s="52"/>
      <c r="P37" s="132" t="s">
        <v>130</v>
      </c>
      <c r="Q37" s="133" t="s">
        <v>131</v>
      </c>
      <c r="R37" s="52"/>
      <c r="S37" s="132" t="s">
        <v>130</v>
      </c>
      <c r="T37" s="133" t="s">
        <v>131</v>
      </c>
      <c r="U37" s="52"/>
      <c r="V37" s="96" t="s">
        <v>130</v>
      </c>
      <c r="W37" s="95" t="s">
        <v>131</v>
      </c>
      <c r="X37" s="52"/>
      <c r="Y37" s="96" t="s">
        <v>130</v>
      </c>
      <c r="Z37" s="95" t="s">
        <v>131</v>
      </c>
      <c r="AA37" s="52"/>
      <c r="AB37" s="96" t="s">
        <v>130</v>
      </c>
      <c r="AC37" s="95" t="s">
        <v>131</v>
      </c>
      <c r="AD37" s="52"/>
      <c r="AE37" s="96" t="s">
        <v>130</v>
      </c>
      <c r="AF37" s="95" t="s">
        <v>131</v>
      </c>
      <c r="AG37" s="34"/>
      <c r="AH37" s="96" t="s">
        <v>130</v>
      </c>
      <c r="AI37" s="95" t="s">
        <v>131</v>
      </c>
      <c r="AJ37" s="52"/>
      <c r="AK37" s="128" t="s">
        <v>130</v>
      </c>
      <c r="AL37" s="129" t="s">
        <v>131</v>
      </c>
      <c r="AM37" s="52"/>
      <c r="AN37" s="96" t="s">
        <v>130</v>
      </c>
      <c r="AO37" s="95" t="s">
        <v>131</v>
      </c>
      <c r="AP37" s="52"/>
      <c r="AQ37" s="196" t="s">
        <v>130</v>
      </c>
      <c r="AR37" s="142" t="s">
        <v>131</v>
      </c>
      <c r="AS37" s="52"/>
      <c r="AT37" s="197" t="s">
        <v>130</v>
      </c>
      <c r="AU37" s="129" t="s">
        <v>131</v>
      </c>
      <c r="AV37" s="52"/>
      <c r="AW37" s="96" t="s">
        <v>130</v>
      </c>
      <c r="AX37" s="95" t="s">
        <v>131</v>
      </c>
      <c r="AY37" s="52"/>
      <c r="AZ37" s="96" t="s">
        <v>130</v>
      </c>
      <c r="BA37" s="95" t="s">
        <v>131</v>
      </c>
      <c r="BB37" s="52"/>
      <c r="BC37" s="139" t="s">
        <v>130</v>
      </c>
      <c r="BD37" s="95" t="s">
        <v>131</v>
      </c>
      <c r="BE37" s="1"/>
    </row>
    <row r="38" spans="1:57" x14ac:dyDescent="0.25">
      <c r="B38" s="45"/>
      <c r="D38" s="149"/>
      <c r="E38" s="149"/>
      <c r="F38" s="81"/>
      <c r="G38" s="153"/>
      <c r="H38" s="153"/>
      <c r="J38" s="155"/>
      <c r="K38" s="155"/>
      <c r="L38" s="41"/>
      <c r="M38" s="161"/>
      <c r="N38" s="161"/>
      <c r="P38" s="134"/>
      <c r="Q38" s="134"/>
      <c r="S38" s="141"/>
      <c r="T38" s="141"/>
      <c r="V38" s="41"/>
      <c r="W38" s="41"/>
      <c r="Y38" s="41"/>
      <c r="Z38" s="41"/>
      <c r="AB38" s="182"/>
      <c r="AC38" s="182"/>
      <c r="AE38" s="40"/>
      <c r="AF38" s="40"/>
      <c r="AH38" s="40"/>
      <c r="AI38" s="40"/>
      <c r="AK38" s="130"/>
      <c r="AL38" s="130"/>
      <c r="AM38" s="40"/>
      <c r="AN38" s="40"/>
      <c r="AO38" s="40"/>
      <c r="AP38" s="40"/>
      <c r="AQ38" s="144"/>
      <c r="AR38" s="144"/>
      <c r="AS38" s="40"/>
      <c r="AT38" s="146"/>
      <c r="AU38" s="146"/>
      <c r="AV38" s="40"/>
      <c r="AW38" s="76"/>
      <c r="AX38" s="76"/>
      <c r="AY38" s="42"/>
      <c r="AZ38" s="42"/>
      <c r="BA38" s="42"/>
      <c r="BB38" s="42"/>
      <c r="BC38" s="76"/>
      <c r="BD38" s="76"/>
      <c r="BE38" s="42"/>
    </row>
    <row r="39" spans="1:57" ht="39.950000000000003" customHeight="1" x14ac:dyDescent="0.25">
      <c r="A39" s="247" t="s">
        <v>63</v>
      </c>
      <c r="B39" s="247"/>
      <c r="C39" s="247"/>
      <c r="D39" s="162">
        <v>15</v>
      </c>
      <c r="E39" s="162">
        <v>15</v>
      </c>
      <c r="F39" s="81"/>
      <c r="G39" s="153">
        <f>D39*SUM(1+$G$1/$Y$1)</f>
        <v>18</v>
      </c>
      <c r="H39" s="153">
        <f>E39*SUM(1+$G$1/$Y$1)</f>
        <v>18</v>
      </c>
      <c r="J39" s="155">
        <f t="shared" ref="J39:K39" si="54">G39-D39</f>
        <v>3</v>
      </c>
      <c r="K39" s="155">
        <f t="shared" si="54"/>
        <v>3</v>
      </c>
      <c r="L39" s="41"/>
      <c r="M39" s="161">
        <f t="shared" ref="M39:N39" si="55">ROUND(D39*(1+$G$1*2),2)*SUM(1+$M$1)</f>
        <v>19.8</v>
      </c>
      <c r="N39" s="161">
        <f t="shared" si="55"/>
        <v>19.8</v>
      </c>
      <c r="P39" s="134">
        <f t="shared" ref="P39:Q39" si="56">M39-D39</f>
        <v>4.8000000000000007</v>
      </c>
      <c r="Q39" s="134">
        <f t="shared" si="56"/>
        <v>4.8000000000000007</v>
      </c>
      <c r="S39" s="141">
        <f>AK39/G39</f>
        <v>0.1</v>
      </c>
      <c r="T39" s="141">
        <f>AL39/H39</f>
        <v>0.1</v>
      </c>
      <c r="V39" s="41">
        <f>SUM(D39/(1-$Y$1))</f>
        <v>30</v>
      </c>
      <c r="W39" s="41">
        <f>SUM(E39/(1-$Y$1))</f>
        <v>30</v>
      </c>
      <c r="Y39" s="41">
        <f t="shared" ref="Y39:Z39" si="57">ROUND(D39/(1-$Y$1)*1.2,2)</f>
        <v>36</v>
      </c>
      <c r="Z39" s="41">
        <f t="shared" si="57"/>
        <v>36</v>
      </c>
      <c r="AB39" s="182">
        <f t="shared" ref="AB39:AC39" si="58">ROUNDDOWN(D39/(1-$Y$1)*1.2,1)</f>
        <v>36</v>
      </c>
      <c r="AC39" s="182">
        <f t="shared" si="58"/>
        <v>36</v>
      </c>
      <c r="AE39" s="40">
        <f t="shared" ref="AE39:AF39" si="59">AB39/1.2</f>
        <v>30</v>
      </c>
      <c r="AF39" s="40">
        <f t="shared" si="59"/>
        <v>30</v>
      </c>
      <c r="AH39" s="40">
        <f t="shared" ref="AH39:AI39" si="60">Y39-AB39</f>
        <v>0</v>
      </c>
      <c r="AI39" s="40">
        <f t="shared" si="60"/>
        <v>0</v>
      </c>
      <c r="AK39" s="130">
        <f t="shared" ref="AK39" si="61">ROUND(M39*(1-(1/(1+$AL$1))),2)</f>
        <v>1.8</v>
      </c>
      <c r="AL39" s="130">
        <f>ROUND(N39*(1-(1/(1+$AL$1))),2)</f>
        <v>1.8</v>
      </c>
      <c r="AM39" s="40"/>
      <c r="AN39" s="40">
        <f t="shared" ref="AN39" si="62">SUM(V39-G39)-AH39</f>
        <v>12</v>
      </c>
      <c r="AO39" s="40">
        <f t="shared" ref="AO39" si="63">SUM(W39-H39)-AI39</f>
        <v>12</v>
      </c>
      <c r="AP39" s="40"/>
      <c r="AQ39" s="144">
        <f>(SUM(G39-D39)/D39*$Y$1)</f>
        <v>0.1</v>
      </c>
      <c r="AR39" s="144">
        <f>(SUM(H39-E39)/E39*$Y$1)</f>
        <v>0.1</v>
      </c>
      <c r="AS39" s="40"/>
      <c r="AT39" s="146">
        <f>AN39/V39</f>
        <v>0.4</v>
      </c>
      <c r="AU39" s="146">
        <f>AO39/W39</f>
        <v>0.4</v>
      </c>
      <c r="AV39" s="40"/>
      <c r="AW39" s="76">
        <f>D39/V39</f>
        <v>0.5</v>
      </c>
      <c r="AX39" s="76">
        <f>E39/W39</f>
        <v>0.5</v>
      </c>
      <c r="AY39" s="42"/>
      <c r="AZ39" s="42">
        <f>J39+AN39</f>
        <v>15</v>
      </c>
      <c r="BA39" s="42">
        <f>K39+AO39</f>
        <v>15</v>
      </c>
      <c r="BB39" s="42"/>
      <c r="BC39" s="76">
        <f>AZ39/(D39/$Y$1)</f>
        <v>0.5</v>
      </c>
      <c r="BD39" s="76">
        <f>BA39/(E39/$Y$1)</f>
        <v>0.5</v>
      </c>
      <c r="BE39" s="42"/>
    </row>
    <row r="40" spans="1:57" x14ac:dyDescent="0.25">
      <c r="A40" s="52"/>
      <c r="B40" s="52"/>
      <c r="C40" s="98"/>
      <c r="D40" s="52"/>
      <c r="E40" s="52"/>
      <c r="F40" s="40"/>
    </row>
    <row r="41" spans="1:57" x14ac:dyDescent="0.25">
      <c r="A41" s="45" t="s">
        <v>64</v>
      </c>
      <c r="B41" s="45" t="s">
        <v>65</v>
      </c>
      <c r="C41" s="45" t="s">
        <v>66</v>
      </c>
    </row>
    <row r="42" spans="1:57" s="122" customFormat="1" ht="30" customHeight="1" x14ac:dyDescent="0.25">
      <c r="A42" s="120"/>
      <c r="B42" s="121" t="s">
        <v>67</v>
      </c>
      <c r="C42" s="248" t="s">
        <v>68</v>
      </c>
      <c r="D42" s="248"/>
      <c r="E42" s="248"/>
      <c r="F42" s="248"/>
      <c r="G42" s="248"/>
      <c r="H42" s="248"/>
      <c r="I42" s="248"/>
      <c r="J42" s="248"/>
      <c r="K42" s="248"/>
      <c r="L42" s="248"/>
      <c r="M42" s="248"/>
    </row>
    <row r="43" spans="1:57" s="122" customFormat="1" ht="30" customHeight="1" x14ac:dyDescent="0.25">
      <c r="A43" s="120"/>
      <c r="B43" s="121"/>
      <c r="C43" s="248"/>
      <c r="D43" s="248"/>
      <c r="E43" s="248"/>
      <c r="F43" s="248"/>
      <c r="G43" s="248"/>
      <c r="H43" s="248"/>
      <c r="I43" s="248"/>
      <c r="J43" s="248"/>
      <c r="K43" s="248"/>
      <c r="L43" s="248"/>
      <c r="M43" s="248"/>
    </row>
    <row r="44" spans="1:57" x14ac:dyDescent="0.25">
      <c r="B44" s="45" t="s">
        <v>69</v>
      </c>
      <c r="C44" s="45" t="s">
        <v>70</v>
      </c>
      <c r="G44" s="40"/>
    </row>
    <row r="45" spans="1:57" x14ac:dyDescent="0.25">
      <c r="B45" s="45" t="s">
        <v>71</v>
      </c>
      <c r="C45" s="45" t="s">
        <v>72</v>
      </c>
      <c r="G45" s="40"/>
    </row>
    <row r="46" spans="1:57" x14ac:dyDescent="0.25">
      <c r="A46" s="52"/>
      <c r="B46" s="52"/>
      <c r="C46" s="98"/>
      <c r="D46" s="52"/>
      <c r="E46" s="52"/>
      <c r="F46" s="40"/>
    </row>
    <row r="47" spans="1:57" x14ac:dyDescent="0.25">
      <c r="A47" s="46" t="s">
        <v>73</v>
      </c>
      <c r="B47" s="1" t="s">
        <v>74</v>
      </c>
      <c r="C47" s="46" t="s">
        <v>75</v>
      </c>
      <c r="D47" s="25"/>
      <c r="F47" s="47"/>
    </row>
    <row r="48" spans="1:57" x14ac:dyDescent="0.25">
      <c r="A48" s="25"/>
      <c r="B48" s="1" t="s">
        <v>76</v>
      </c>
      <c r="C48" s="47" t="s">
        <v>77</v>
      </c>
      <c r="D48" s="25"/>
      <c r="F48" s="47"/>
    </row>
    <row r="49" spans="1:12" x14ac:dyDescent="0.25">
      <c r="A49" s="25"/>
      <c r="B49" s="1" t="s">
        <v>78</v>
      </c>
      <c r="C49" s="47" t="s">
        <v>79</v>
      </c>
      <c r="D49" s="25"/>
      <c r="F49" s="47"/>
    </row>
    <row r="50" spans="1:12" x14ac:dyDescent="0.25">
      <c r="A50" s="25"/>
      <c r="B50" s="1" t="s">
        <v>80</v>
      </c>
      <c r="C50" s="47" t="s">
        <v>81</v>
      </c>
      <c r="D50" s="25"/>
      <c r="F50" s="47"/>
    </row>
    <row r="51" spans="1:12" x14ac:dyDescent="0.25">
      <c r="F51" s="52"/>
      <c r="G51" s="52"/>
      <c r="H51" s="52"/>
      <c r="I51" s="52"/>
      <c r="J51" s="52"/>
      <c r="K51" s="52"/>
      <c r="L51" s="52"/>
    </row>
    <row r="52" spans="1:12" x14ac:dyDescent="0.25">
      <c r="A52" s="1" t="s">
        <v>82</v>
      </c>
      <c r="C52" s="1" t="s">
        <v>83</v>
      </c>
      <c r="F52" s="99"/>
      <c r="G52" s="99"/>
      <c r="H52" s="99"/>
      <c r="I52" s="99"/>
      <c r="J52" s="99"/>
      <c r="K52" s="99"/>
      <c r="L52" s="99"/>
    </row>
    <row r="53" spans="1:12" x14ac:dyDescent="0.25">
      <c r="A53" s="99"/>
      <c r="F53" s="99"/>
      <c r="G53" s="99"/>
      <c r="H53" s="99"/>
      <c r="I53" s="99"/>
      <c r="J53" s="99"/>
      <c r="K53" s="99"/>
      <c r="L53" s="99"/>
    </row>
    <row r="54" spans="1:12" x14ac:dyDescent="0.25">
      <c r="A54" s="52" t="s">
        <v>84</v>
      </c>
      <c r="B54" s="52"/>
      <c r="C54" s="52"/>
      <c r="D54" s="52"/>
      <c r="E54" s="52"/>
      <c r="F54" s="99"/>
      <c r="G54" s="99"/>
      <c r="H54" s="99"/>
      <c r="I54" s="99"/>
      <c r="J54" s="99"/>
      <c r="K54" s="99"/>
      <c r="L54" s="99"/>
    </row>
  </sheetData>
  <mergeCells count="40">
    <mergeCell ref="D2:E2"/>
    <mergeCell ref="G2:H2"/>
    <mergeCell ref="J2:K2"/>
    <mergeCell ref="M2:N2"/>
    <mergeCell ref="P2:Q2"/>
    <mergeCell ref="AZ2:BA2"/>
    <mergeCell ref="BC2:BD2"/>
    <mergeCell ref="V2:W2"/>
    <mergeCell ref="Y2:Z2"/>
    <mergeCell ref="AB2:AC2"/>
    <mergeCell ref="AE2:AF2"/>
    <mergeCell ref="AH2:AI2"/>
    <mergeCell ref="AK2:AL2"/>
    <mergeCell ref="M36:N36"/>
    <mergeCell ref="AN2:AO2"/>
    <mergeCell ref="AQ2:AR2"/>
    <mergeCell ref="AT2:AU2"/>
    <mergeCell ref="AW2:AX2"/>
    <mergeCell ref="S2:T2"/>
    <mergeCell ref="B30:E30"/>
    <mergeCell ref="B31:F31"/>
    <mergeCell ref="D36:E36"/>
    <mergeCell ref="G36:H36"/>
    <mergeCell ref="J36:K36"/>
    <mergeCell ref="AZ36:BA36"/>
    <mergeCell ref="BC36:BD36"/>
    <mergeCell ref="A39:C39"/>
    <mergeCell ref="C42:M43"/>
    <mergeCell ref="AH36:AI36"/>
    <mergeCell ref="AK36:AL36"/>
    <mergeCell ref="AN36:AO36"/>
    <mergeCell ref="AQ36:AR36"/>
    <mergeCell ref="AT36:AU36"/>
    <mergeCell ref="AW36:AX36"/>
    <mergeCell ref="P36:Q36"/>
    <mergeCell ref="S36:T36"/>
    <mergeCell ref="V36:W36"/>
    <mergeCell ref="Y36:Z36"/>
    <mergeCell ref="AB36:AC36"/>
    <mergeCell ref="AE36:AF36"/>
  </mergeCells>
  <pageMargins left="0.7" right="0.7" top="0.75" bottom="0.75" header="0.3" footer="0.3"/>
  <pageSetup paperSize="9" orientation="portrait" horizontalDpi="4294967295" verticalDpi="4294967295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E3F37-AB5F-429F-B79C-AA37D706FF01}">
  <sheetPr>
    <tabColor theme="7" tint="0.39997558519241921"/>
  </sheetPr>
  <dimension ref="A1:BE58"/>
  <sheetViews>
    <sheetView zoomScale="85" zoomScaleNormal="85" workbookViewId="0">
      <pane xSplit="3" ySplit="3" topLeftCell="D27" activePane="bottomRight" state="frozen"/>
      <selection pane="topRight" activeCell="D1" sqref="D1"/>
      <selection pane="bottomLeft" activeCell="A4" sqref="A4"/>
      <selection pane="bottomRight" activeCell="E21" sqref="E21"/>
    </sheetView>
  </sheetViews>
  <sheetFormatPr defaultColWidth="8.85546875" defaultRowHeight="15" x14ac:dyDescent="0.25"/>
  <cols>
    <col min="1" max="1" width="33.7109375" style="1" customWidth="1"/>
    <col min="2" max="2" width="8.85546875" style="1" customWidth="1"/>
    <col min="3" max="3" width="32.140625" style="1" customWidth="1"/>
    <col min="4" max="5" width="10" style="1" customWidth="1"/>
    <col min="6" max="6" width="3.7109375" style="1" customWidth="1"/>
    <col min="7" max="8" width="9.7109375" style="1" customWidth="1"/>
    <col min="9" max="9" width="3.7109375" style="1" customWidth="1"/>
    <col min="10" max="11" width="9.7109375" style="1" customWidth="1"/>
    <col min="12" max="12" width="3.7109375" style="1" customWidth="1"/>
    <col min="13" max="13" width="13" style="1" customWidth="1"/>
    <col min="14" max="14" width="11.85546875" style="1" bestFit="1" customWidth="1"/>
    <col min="15" max="15" width="3.7109375" style="1" customWidth="1"/>
    <col min="16" max="17" width="9.7109375" style="1" customWidth="1"/>
    <col min="18" max="18" width="3.7109375" style="1" customWidth="1"/>
    <col min="19" max="20" width="9.7109375" style="1" customWidth="1"/>
    <col min="21" max="21" width="5.140625" style="1" customWidth="1"/>
    <col min="22" max="22" width="12.42578125" style="1" customWidth="1"/>
    <col min="23" max="23" width="11.85546875" style="1" customWidth="1"/>
    <col min="24" max="24" width="6.140625" style="1" customWidth="1"/>
    <col min="25" max="25" width="12.42578125" style="1" customWidth="1"/>
    <col min="26" max="26" width="11.85546875" style="1" customWidth="1"/>
    <col min="27" max="27" width="3.7109375" style="1" customWidth="1"/>
    <col min="28" max="29" width="9.7109375" style="1" customWidth="1"/>
    <col min="30" max="30" width="3.7109375" style="1" customWidth="1"/>
    <col min="31" max="32" width="9.7109375" style="1" customWidth="1"/>
    <col min="33" max="33" width="3.7109375" style="1" customWidth="1"/>
    <col min="34" max="35" width="9.7109375" style="1" customWidth="1"/>
    <col min="36" max="36" width="3.7109375" style="1" customWidth="1"/>
    <col min="37" max="38" width="9.7109375" style="1" customWidth="1"/>
    <col min="39" max="39" width="3.7109375" style="1" customWidth="1"/>
    <col min="40" max="41" width="9.7109375" style="1" customWidth="1"/>
    <col min="42" max="42" width="3.7109375" style="1" customWidth="1"/>
    <col min="43" max="44" width="9.7109375" style="1" customWidth="1"/>
    <col min="45" max="45" width="3.7109375" style="1" customWidth="1"/>
    <col min="46" max="47" width="9.7109375" style="1" customWidth="1"/>
    <col min="48" max="48" width="3.7109375" style="1" customWidth="1"/>
    <col min="49" max="50" width="9.7109375" style="1" customWidth="1"/>
    <col min="51" max="51" width="3.7109375" style="1" customWidth="1"/>
    <col min="52" max="53" width="9.7109375" style="1" customWidth="1"/>
    <col min="54" max="54" width="3.7109375" style="1" customWidth="1"/>
    <col min="55" max="55" width="11.85546875" style="1" customWidth="1"/>
    <col min="56" max="56" width="10.42578125" style="1" customWidth="1"/>
    <col min="57" max="57" width="8.140625" style="1" customWidth="1"/>
    <col min="58" max="16384" width="8.85546875" style="1"/>
  </cols>
  <sheetData>
    <row r="1" spans="1:57" ht="15" customHeight="1" thickBot="1" x14ac:dyDescent="0.3">
      <c r="A1" s="184" t="s">
        <v>88</v>
      </c>
      <c r="C1" s="171" t="s">
        <v>0</v>
      </c>
      <c r="D1" s="163">
        <v>0.495</v>
      </c>
      <c r="E1" s="18"/>
      <c r="F1" s="18"/>
      <c r="G1" s="194">
        <v>0.1</v>
      </c>
      <c r="H1" s="170" t="s">
        <v>1</v>
      </c>
      <c r="I1" s="18"/>
      <c r="J1" s="18"/>
      <c r="K1" s="18"/>
      <c r="L1" s="18"/>
      <c r="M1" s="92">
        <v>0.1</v>
      </c>
      <c r="N1" s="18"/>
      <c r="O1" s="18"/>
      <c r="P1" s="18"/>
      <c r="Q1" s="18"/>
      <c r="R1" s="18"/>
      <c r="S1" s="18"/>
      <c r="T1" s="18"/>
      <c r="U1" s="18"/>
      <c r="V1" s="92"/>
      <c r="W1" s="18"/>
      <c r="X1" s="92"/>
      <c r="Y1" s="91">
        <v>0.5</v>
      </c>
      <c r="Z1" s="18"/>
      <c r="AL1" s="83">
        <v>0.1</v>
      </c>
    </row>
    <row r="2" spans="1:57" ht="48" customHeight="1" x14ac:dyDescent="0.25">
      <c r="A2" s="4"/>
      <c r="D2" s="244" t="s">
        <v>128</v>
      </c>
      <c r="E2" s="244"/>
      <c r="F2" s="95"/>
      <c r="G2" s="245" t="s">
        <v>3</v>
      </c>
      <c r="H2" s="245"/>
      <c r="I2" s="18"/>
      <c r="J2" s="245" t="s">
        <v>4</v>
      </c>
      <c r="K2" s="245"/>
      <c r="L2" s="18"/>
      <c r="M2" s="219" t="s">
        <v>5</v>
      </c>
      <c r="N2" s="219"/>
      <c r="O2" s="18"/>
      <c r="P2" s="219" t="s">
        <v>6</v>
      </c>
      <c r="Q2" s="219"/>
      <c r="R2" s="18"/>
      <c r="S2" s="219" t="s">
        <v>7</v>
      </c>
      <c r="T2" s="219"/>
      <c r="U2" s="18"/>
      <c r="V2" s="214" t="s">
        <v>8</v>
      </c>
      <c r="W2" s="214"/>
      <c r="X2" s="52"/>
      <c r="Y2" s="211" t="s">
        <v>9</v>
      </c>
      <c r="Z2" s="211"/>
      <c r="AB2" s="215" t="s">
        <v>10</v>
      </c>
      <c r="AC2" s="215"/>
      <c r="AE2" s="211" t="s">
        <v>11</v>
      </c>
      <c r="AF2" s="211"/>
      <c r="AH2" s="211" t="s">
        <v>12</v>
      </c>
      <c r="AI2" s="211"/>
      <c r="AK2" s="211" t="s">
        <v>13</v>
      </c>
      <c r="AL2" s="211"/>
      <c r="AN2" s="211" t="s">
        <v>14</v>
      </c>
      <c r="AO2" s="211"/>
      <c r="AQ2" s="212" t="s">
        <v>15</v>
      </c>
      <c r="AR2" s="212"/>
      <c r="AT2" s="211" t="s">
        <v>16</v>
      </c>
      <c r="AU2" s="211"/>
      <c r="AW2" s="213" t="s">
        <v>17</v>
      </c>
      <c r="AX2" s="213"/>
      <c r="AZ2" s="213" t="s">
        <v>18</v>
      </c>
      <c r="BA2" s="213"/>
      <c r="BC2" s="213" t="s">
        <v>129</v>
      </c>
      <c r="BD2" s="213"/>
    </row>
    <row r="3" spans="1:57" s="52" customFormat="1" ht="102" customHeight="1" x14ac:dyDescent="0.25">
      <c r="A3" s="97"/>
      <c r="D3" s="195" t="s">
        <v>130</v>
      </c>
      <c r="E3" s="147" t="s">
        <v>131</v>
      </c>
      <c r="F3" s="35"/>
      <c r="G3" s="151" t="s">
        <v>130</v>
      </c>
      <c r="H3" s="152" t="s">
        <v>131</v>
      </c>
      <c r="J3" s="151" t="s">
        <v>130</v>
      </c>
      <c r="K3" s="152" t="s">
        <v>131</v>
      </c>
      <c r="M3" s="132" t="s">
        <v>130</v>
      </c>
      <c r="N3" s="133" t="s">
        <v>131</v>
      </c>
      <c r="P3" s="132" t="s">
        <v>130</v>
      </c>
      <c r="Q3" s="133" t="s">
        <v>131</v>
      </c>
      <c r="S3" s="132" t="s">
        <v>130</v>
      </c>
      <c r="T3" s="133" t="s">
        <v>131</v>
      </c>
      <c r="V3" s="96" t="s">
        <v>130</v>
      </c>
      <c r="W3" s="95" t="s">
        <v>131</v>
      </c>
      <c r="Y3" s="96" t="s">
        <v>130</v>
      </c>
      <c r="Z3" s="95" t="s">
        <v>131</v>
      </c>
      <c r="AB3" s="96" t="s">
        <v>130</v>
      </c>
      <c r="AC3" s="95" t="s">
        <v>131</v>
      </c>
      <c r="AE3" s="96" t="s">
        <v>130</v>
      </c>
      <c r="AF3" s="95" t="s">
        <v>131</v>
      </c>
      <c r="AG3" s="34"/>
      <c r="AH3" s="96" t="s">
        <v>130</v>
      </c>
      <c r="AI3" s="95" t="s">
        <v>131</v>
      </c>
      <c r="AK3" s="128" t="s">
        <v>130</v>
      </c>
      <c r="AL3" s="129" t="s">
        <v>131</v>
      </c>
      <c r="AN3" s="96" t="s">
        <v>130</v>
      </c>
      <c r="AO3" s="95" t="s">
        <v>131</v>
      </c>
      <c r="AQ3" s="196" t="s">
        <v>130</v>
      </c>
      <c r="AR3" s="142" t="s">
        <v>131</v>
      </c>
      <c r="AT3" s="197" t="s">
        <v>130</v>
      </c>
      <c r="AU3" s="129" t="s">
        <v>131</v>
      </c>
      <c r="AW3" s="96" t="s">
        <v>130</v>
      </c>
      <c r="AX3" s="95" t="s">
        <v>131</v>
      </c>
      <c r="AZ3" s="96" t="s">
        <v>130</v>
      </c>
      <c r="BA3" s="95" t="s">
        <v>131</v>
      </c>
      <c r="BC3" s="139" t="s">
        <v>130</v>
      </c>
      <c r="BD3" s="95" t="s">
        <v>131</v>
      </c>
    </row>
    <row r="4" spans="1:57" x14ac:dyDescent="0.25">
      <c r="A4" s="167" t="s">
        <v>132</v>
      </c>
      <c r="B4" s="4"/>
      <c r="D4" s="137"/>
      <c r="E4" s="148"/>
      <c r="F4" s="39"/>
      <c r="G4" s="138"/>
      <c r="H4" s="138"/>
      <c r="J4" s="154"/>
      <c r="K4" s="154"/>
      <c r="M4" s="123"/>
      <c r="N4" s="123"/>
      <c r="P4" s="123"/>
      <c r="Q4" s="123"/>
      <c r="S4" s="140"/>
      <c r="T4" s="140"/>
      <c r="V4" s="75"/>
      <c r="AK4" s="131"/>
      <c r="AL4" s="131"/>
      <c r="AQ4" s="143"/>
      <c r="AR4" s="143"/>
      <c r="AT4" s="131"/>
      <c r="AU4" s="131"/>
    </row>
    <row r="5" spans="1:57" x14ac:dyDescent="0.25">
      <c r="A5" t="s">
        <v>133</v>
      </c>
      <c r="D5" s="162">
        <f>ROUND('AMT Silver Standard re 1 Apr25'!D5+'AMT Silver Inc Cruise 1 Apr25+'!$B$57,2)</f>
        <v>34.07</v>
      </c>
      <c r="E5" s="162">
        <f>ROUND('AMT Silver Standard re 1 Apr25'!E5+'AMT Silver Inc Cruise 1 Apr25+'!$B$58,2)</f>
        <v>61.38</v>
      </c>
      <c r="F5" s="81"/>
      <c r="G5" s="153">
        <f t="shared" ref="G5:H8" si="0">D5*SUM(1+$G$1/$Y$1)</f>
        <v>40.884</v>
      </c>
      <c r="H5" s="153">
        <f t="shared" si="0"/>
        <v>73.656000000000006</v>
      </c>
      <c r="I5" s="83"/>
      <c r="J5" s="155">
        <f>G5-D5</f>
        <v>6.8140000000000001</v>
      </c>
      <c r="K5" s="155">
        <f>H5-E5</f>
        <v>12.276000000000003</v>
      </c>
      <c r="L5" s="83"/>
      <c r="M5" s="134">
        <f>ROUND(D5*(1+$G$1*2),2)*SUM(1+$M$1)</f>
        <v>44.968000000000004</v>
      </c>
      <c r="N5" s="134">
        <f>ROUND(E5*(1+$G$1*2),2)*SUM(1+$M$1)</f>
        <v>81.025999999999996</v>
      </c>
      <c r="P5" s="134">
        <f>M5-D5</f>
        <v>10.898000000000003</v>
      </c>
      <c r="Q5" s="134">
        <f>N5-E5</f>
        <v>19.645999999999994</v>
      </c>
      <c r="S5" s="141">
        <f t="shared" ref="S5:T8" si="1">AK5/G5</f>
        <v>0.10003913511398102</v>
      </c>
      <c r="T5" s="141">
        <f t="shared" si="1"/>
        <v>0.10005973715651134</v>
      </c>
      <c r="V5" s="41">
        <f t="shared" ref="V5:W8" si="2">SUM(D5/(1-$Y$1))</f>
        <v>68.14</v>
      </c>
      <c r="W5" s="41">
        <f t="shared" si="2"/>
        <v>122.76</v>
      </c>
      <c r="X5" s="82"/>
      <c r="Y5" s="41">
        <f>ROUND(D5/(1-$Y$1)*1.2,2)</f>
        <v>81.77</v>
      </c>
      <c r="Z5" s="41">
        <f>ROUND(E5/(1-$Y$1)*1.2,2)</f>
        <v>147.31</v>
      </c>
      <c r="AB5" s="182">
        <f>ROUNDDOWN(D5/(1-$Y$1)*1.2,1)</f>
        <v>81.7</v>
      </c>
      <c r="AC5" s="182">
        <f>ROUNDDOWN(E5/(1-$Y$1)*1.2,1)</f>
        <v>147.30000000000001</v>
      </c>
      <c r="AE5" s="40">
        <f>AB5/1.2</f>
        <v>68.083333333333343</v>
      </c>
      <c r="AF5" s="40">
        <f>AC5/1.2</f>
        <v>122.75000000000001</v>
      </c>
      <c r="AH5" s="40">
        <f>Y5-AB5</f>
        <v>6.9999999999993179E-2</v>
      </c>
      <c r="AI5" s="40">
        <f>Z5-AC5</f>
        <v>9.9999999999909051E-3</v>
      </c>
      <c r="AK5" s="130">
        <f t="shared" ref="AK5:AL8" si="3">ROUND(M5*(1-(1/(1+$AL$1))),2)</f>
        <v>4.09</v>
      </c>
      <c r="AL5" s="130">
        <f t="shared" si="3"/>
        <v>7.37</v>
      </c>
      <c r="AM5" s="40"/>
      <c r="AN5" s="40">
        <f>SUM(V5-G5)-AH5</f>
        <v>27.186000000000007</v>
      </c>
      <c r="AO5" s="40">
        <f>SUM(W5-H5)-AI5</f>
        <v>49.094000000000008</v>
      </c>
      <c r="AP5" s="40"/>
      <c r="AQ5" s="144">
        <f t="shared" ref="AQ5:AR8" si="4">(SUM(G5-D5)/D5*$Y$1)</f>
        <v>0.1</v>
      </c>
      <c r="AR5" s="144">
        <f t="shared" si="4"/>
        <v>0.10000000000000002</v>
      </c>
      <c r="AS5" s="40"/>
      <c r="AT5" s="146">
        <f t="shared" ref="AT5:AU8" si="5">AN5/V5</f>
        <v>0.39897270325799833</v>
      </c>
      <c r="AU5" s="146">
        <f t="shared" si="5"/>
        <v>0.39991854024112095</v>
      </c>
      <c r="AV5" s="40"/>
      <c r="AW5" s="76">
        <f t="shared" ref="AW5:AX8" si="6">D5/V5</f>
        <v>0.5</v>
      </c>
      <c r="AX5" s="76">
        <f t="shared" si="6"/>
        <v>0.5</v>
      </c>
      <c r="AY5" s="42"/>
      <c r="AZ5" s="42">
        <f t="shared" ref="AZ5:BA8" si="7">J5+AN5</f>
        <v>34.000000000000007</v>
      </c>
      <c r="BA5" s="42">
        <f t="shared" si="7"/>
        <v>61.370000000000012</v>
      </c>
      <c r="BB5" s="42"/>
      <c r="BC5" s="76">
        <f t="shared" ref="BC5:BD8" si="8">AZ5/(D5/$Y$1)</f>
        <v>0.49897270325799836</v>
      </c>
      <c r="BD5" s="76">
        <f t="shared" si="8"/>
        <v>0.49991854024112098</v>
      </c>
      <c r="BE5" s="42"/>
    </row>
    <row r="6" spans="1:57" x14ac:dyDescent="0.25">
      <c r="A6" t="s">
        <v>134</v>
      </c>
      <c r="D6" s="162">
        <f>ROUND(D5*1.5,2)</f>
        <v>51.11</v>
      </c>
      <c r="E6" s="162">
        <f>ROUND(E5*1.5,2)</f>
        <v>92.07</v>
      </c>
      <c r="F6" s="81"/>
      <c r="G6" s="153">
        <f t="shared" si="0"/>
        <v>61.331999999999994</v>
      </c>
      <c r="H6" s="153">
        <f t="shared" si="0"/>
        <v>110.48399999999999</v>
      </c>
      <c r="I6" s="83"/>
      <c r="J6" s="155">
        <f>G6-D6</f>
        <v>10.221999999999994</v>
      </c>
      <c r="K6" s="155">
        <f>H6-E6</f>
        <v>18.414000000000001</v>
      </c>
      <c r="L6" s="83"/>
      <c r="M6" s="134">
        <f t="shared" ref="M6:N8" si="9">ROUND(D6*(1+$G$1*2),2)*SUM(1+$M$1)</f>
        <v>67.463000000000008</v>
      </c>
      <c r="N6" s="134">
        <f t="shared" si="9"/>
        <v>121.52800000000002</v>
      </c>
      <c r="P6" s="134">
        <f>M6-D6</f>
        <v>16.353000000000009</v>
      </c>
      <c r="Q6" s="134">
        <f>N6-E6</f>
        <v>29.458000000000027</v>
      </c>
      <c r="S6" s="141">
        <f t="shared" si="1"/>
        <v>9.9947824952716369E-2</v>
      </c>
      <c r="T6" s="141">
        <f t="shared" si="1"/>
        <v>0.10001448173491186</v>
      </c>
      <c r="V6" s="41">
        <f t="shared" si="2"/>
        <v>102.22</v>
      </c>
      <c r="W6" s="41">
        <f t="shared" si="2"/>
        <v>184.14</v>
      </c>
      <c r="X6" s="82"/>
      <c r="Y6" s="41">
        <f t="shared" ref="Y6:Z8" si="10">ROUND(D6/(1-$Y$1)*1.2,2)</f>
        <v>122.66</v>
      </c>
      <c r="Z6" s="41">
        <f t="shared" si="10"/>
        <v>220.97</v>
      </c>
      <c r="AB6" s="182">
        <f t="shared" ref="AB6:AC8" si="11">ROUNDDOWN(D6/(1-$Y$1)*1.2,1)</f>
        <v>122.6</v>
      </c>
      <c r="AC6" s="182">
        <f t="shared" si="11"/>
        <v>220.9</v>
      </c>
      <c r="AE6" s="40">
        <f t="shared" ref="AE6:AF8" si="12">AB6/1.2</f>
        <v>102.16666666666667</v>
      </c>
      <c r="AF6" s="40">
        <f t="shared" si="12"/>
        <v>184.08333333333334</v>
      </c>
      <c r="AH6" s="40">
        <f t="shared" ref="AH6:AI8" si="13">Y6-AB6</f>
        <v>6.0000000000002274E-2</v>
      </c>
      <c r="AI6" s="40">
        <f t="shared" si="13"/>
        <v>6.9999999999993179E-2</v>
      </c>
      <c r="AK6" s="130">
        <f t="shared" si="3"/>
        <v>6.13</v>
      </c>
      <c r="AL6" s="130">
        <f t="shared" si="3"/>
        <v>11.05</v>
      </c>
      <c r="AM6" s="40"/>
      <c r="AN6" s="40">
        <f t="shared" ref="AN6:AN8" si="14">SUM(V6-G6)-AH6</f>
        <v>40.828000000000003</v>
      </c>
      <c r="AO6" s="40">
        <f t="shared" ref="AO6:AO8" si="15">SUM(W6-H6)-AI6</f>
        <v>73.585999999999999</v>
      </c>
      <c r="AP6" s="40"/>
      <c r="AQ6" s="144">
        <f t="shared" si="4"/>
        <v>9.999999999999995E-2</v>
      </c>
      <c r="AR6" s="144">
        <f t="shared" si="4"/>
        <v>0.10000000000000002</v>
      </c>
      <c r="AS6" s="40"/>
      <c r="AT6" s="146">
        <f t="shared" si="5"/>
        <v>0.39941303071805911</v>
      </c>
      <c r="AU6" s="146">
        <f t="shared" si="5"/>
        <v>0.39961985445856418</v>
      </c>
      <c r="AV6" s="40"/>
      <c r="AW6" s="76">
        <f t="shared" si="6"/>
        <v>0.5</v>
      </c>
      <c r="AX6" s="76">
        <f t="shared" si="6"/>
        <v>0.5</v>
      </c>
      <c r="AY6" s="42"/>
      <c r="AZ6" s="42">
        <f t="shared" si="7"/>
        <v>51.05</v>
      </c>
      <c r="BA6" s="42">
        <f t="shared" si="7"/>
        <v>92</v>
      </c>
      <c r="BB6" s="42"/>
      <c r="BC6" s="76">
        <f t="shared" si="8"/>
        <v>0.49941303071805909</v>
      </c>
      <c r="BD6" s="76">
        <f t="shared" si="8"/>
        <v>0.49961985445856416</v>
      </c>
      <c r="BE6" s="42"/>
    </row>
    <row r="7" spans="1:57" x14ac:dyDescent="0.25">
      <c r="A7" t="s">
        <v>135</v>
      </c>
      <c r="D7" s="162">
        <f>ROUND('AMT Silver Standard re 1 Apr25'!D7+'AMT Silver Inc Cruise 1 Apr25+'!$B$57,2)</f>
        <v>55.93</v>
      </c>
      <c r="E7" s="162">
        <f>ROUND('AMT Silver Standard re 1 Apr25'!E7+'AMT Silver Inc Cruise 1 Apr25+'!$B$58,2)</f>
        <v>102.82</v>
      </c>
      <c r="F7" s="81"/>
      <c r="G7" s="153">
        <f t="shared" si="0"/>
        <v>67.116</v>
      </c>
      <c r="H7" s="153">
        <f t="shared" si="0"/>
        <v>123.38399999999999</v>
      </c>
      <c r="J7" s="155">
        <f t="shared" ref="J7:K8" si="16">G7-D7</f>
        <v>11.186</v>
      </c>
      <c r="K7" s="155">
        <f t="shared" si="16"/>
        <v>20.563999999999993</v>
      </c>
      <c r="M7" s="134">
        <f t="shared" si="9"/>
        <v>73.832000000000008</v>
      </c>
      <c r="N7" s="134">
        <f t="shared" si="9"/>
        <v>135.71800000000002</v>
      </c>
      <c r="P7" s="134">
        <f t="shared" ref="P7:Q8" si="17">M7-D7</f>
        <v>17.902000000000008</v>
      </c>
      <c r="Q7" s="134">
        <f t="shared" si="17"/>
        <v>32.898000000000025</v>
      </c>
      <c r="S7" s="141">
        <f t="shared" si="1"/>
        <v>9.9976160677036768E-2</v>
      </c>
      <c r="T7" s="141">
        <f t="shared" si="1"/>
        <v>0.10001296764572393</v>
      </c>
      <c r="V7" s="41">
        <f t="shared" si="2"/>
        <v>111.86</v>
      </c>
      <c r="W7" s="41">
        <f t="shared" si="2"/>
        <v>205.64</v>
      </c>
      <c r="Y7" s="41">
        <f t="shared" si="10"/>
        <v>134.22999999999999</v>
      </c>
      <c r="Z7" s="41">
        <f t="shared" si="10"/>
        <v>246.77</v>
      </c>
      <c r="AB7" s="182">
        <f t="shared" si="11"/>
        <v>134.19999999999999</v>
      </c>
      <c r="AC7" s="182">
        <f t="shared" si="11"/>
        <v>246.7</v>
      </c>
      <c r="AE7" s="40">
        <f t="shared" si="12"/>
        <v>111.83333333333333</v>
      </c>
      <c r="AF7" s="40">
        <f t="shared" si="12"/>
        <v>205.58333333333334</v>
      </c>
      <c r="AH7" s="40">
        <f t="shared" si="13"/>
        <v>3.0000000000001137E-2</v>
      </c>
      <c r="AI7" s="40">
        <f t="shared" si="13"/>
        <v>7.00000000000216E-2</v>
      </c>
      <c r="AK7" s="130">
        <f t="shared" si="3"/>
        <v>6.71</v>
      </c>
      <c r="AL7" s="130">
        <f t="shared" si="3"/>
        <v>12.34</v>
      </c>
      <c r="AM7" s="40"/>
      <c r="AN7" s="40">
        <f t="shared" si="14"/>
        <v>44.713999999999999</v>
      </c>
      <c r="AO7" s="40">
        <f t="shared" si="15"/>
        <v>82.185999999999979</v>
      </c>
      <c r="AP7" s="40"/>
      <c r="AQ7" s="144">
        <f t="shared" si="4"/>
        <v>0.1</v>
      </c>
      <c r="AR7" s="144">
        <f t="shared" si="4"/>
        <v>9.9999999999999978E-2</v>
      </c>
      <c r="AS7" s="40"/>
      <c r="AT7" s="146">
        <f t="shared" si="5"/>
        <v>0.39973180761666366</v>
      </c>
      <c r="AU7" s="146">
        <f t="shared" si="5"/>
        <v>0.39965959929974704</v>
      </c>
      <c r="AV7" s="40"/>
      <c r="AW7" s="76">
        <f t="shared" si="6"/>
        <v>0.5</v>
      </c>
      <c r="AX7" s="76">
        <f t="shared" si="6"/>
        <v>0.5</v>
      </c>
      <c r="AY7" s="42"/>
      <c r="AZ7" s="42">
        <f t="shared" si="7"/>
        <v>55.9</v>
      </c>
      <c r="BA7" s="42">
        <f t="shared" si="7"/>
        <v>102.74999999999997</v>
      </c>
      <c r="BB7" s="42"/>
      <c r="BC7" s="76">
        <f t="shared" si="8"/>
        <v>0.49973180761666369</v>
      </c>
      <c r="BD7" s="76">
        <f t="shared" si="8"/>
        <v>0.49965959929974701</v>
      </c>
      <c r="BE7" s="42"/>
    </row>
    <row r="8" spans="1:57" x14ac:dyDescent="0.25">
      <c r="A8" t="s">
        <v>136</v>
      </c>
      <c r="D8" s="162">
        <f>ROUND('AMT Silver Standard re 1 Apr25'!D8+'AMT Silver Inc Cruise 1 Apr25+'!$B$57,2)</f>
        <v>58.23</v>
      </c>
      <c r="E8" s="162">
        <f>ROUND('AMT Silver Standard re 1 Apr25'!E8+'AMT Silver Inc Cruise 1 Apr25+'!$B$58,2)</f>
        <v>105.9</v>
      </c>
      <c r="F8" s="81"/>
      <c r="G8" s="153">
        <f t="shared" si="0"/>
        <v>69.875999999999991</v>
      </c>
      <c r="H8" s="153">
        <f t="shared" si="0"/>
        <v>127.08</v>
      </c>
      <c r="J8" s="155">
        <f t="shared" si="16"/>
        <v>11.645999999999994</v>
      </c>
      <c r="K8" s="155">
        <f t="shared" si="16"/>
        <v>21.179999999999993</v>
      </c>
      <c r="M8" s="134">
        <f t="shared" si="9"/>
        <v>76.867999999999995</v>
      </c>
      <c r="N8" s="134">
        <f t="shared" si="9"/>
        <v>139.78800000000001</v>
      </c>
      <c r="P8" s="134">
        <f t="shared" si="17"/>
        <v>18.637999999999998</v>
      </c>
      <c r="Q8" s="134">
        <f t="shared" si="17"/>
        <v>33.888000000000005</v>
      </c>
      <c r="S8" s="141">
        <f t="shared" si="1"/>
        <v>0.10003434655675771</v>
      </c>
      <c r="T8" s="141">
        <f t="shared" si="1"/>
        <v>0.10001573811772113</v>
      </c>
      <c r="V8" s="41">
        <f t="shared" si="2"/>
        <v>116.46</v>
      </c>
      <c r="W8" s="41">
        <f t="shared" si="2"/>
        <v>211.8</v>
      </c>
      <c r="Y8" s="41">
        <f t="shared" si="10"/>
        <v>139.75</v>
      </c>
      <c r="Z8" s="41">
        <f t="shared" si="10"/>
        <v>254.16</v>
      </c>
      <c r="AB8" s="182">
        <f t="shared" si="11"/>
        <v>139.69999999999999</v>
      </c>
      <c r="AC8" s="182">
        <f t="shared" si="11"/>
        <v>254.1</v>
      </c>
      <c r="AE8" s="40">
        <f t="shared" si="12"/>
        <v>116.41666666666666</v>
      </c>
      <c r="AF8" s="40">
        <f t="shared" si="12"/>
        <v>211.75</v>
      </c>
      <c r="AH8" s="40">
        <f t="shared" si="13"/>
        <v>5.0000000000011369E-2</v>
      </c>
      <c r="AI8" s="40">
        <f t="shared" si="13"/>
        <v>6.0000000000002274E-2</v>
      </c>
      <c r="AK8" s="130">
        <f t="shared" si="3"/>
        <v>6.99</v>
      </c>
      <c r="AL8" s="130">
        <f t="shared" si="3"/>
        <v>12.71</v>
      </c>
      <c r="AM8" s="40"/>
      <c r="AN8" s="40">
        <f t="shared" si="14"/>
        <v>46.533999999999992</v>
      </c>
      <c r="AO8" s="40">
        <f t="shared" si="15"/>
        <v>84.660000000000011</v>
      </c>
      <c r="AP8" s="40"/>
      <c r="AQ8" s="144">
        <f t="shared" si="4"/>
        <v>9.999999999999995E-2</v>
      </c>
      <c r="AR8" s="144">
        <f t="shared" si="4"/>
        <v>9.9999999999999964E-2</v>
      </c>
      <c r="AS8" s="40"/>
      <c r="AT8" s="146">
        <f t="shared" si="5"/>
        <v>0.39957066804052888</v>
      </c>
      <c r="AU8" s="146">
        <f t="shared" si="5"/>
        <v>0.39971671388101987</v>
      </c>
      <c r="AV8" s="40"/>
      <c r="AW8" s="76">
        <f t="shared" si="6"/>
        <v>0.5</v>
      </c>
      <c r="AX8" s="76">
        <f t="shared" si="6"/>
        <v>0.5</v>
      </c>
      <c r="AY8" s="42"/>
      <c r="AZ8" s="42">
        <f t="shared" si="7"/>
        <v>58.179999999999986</v>
      </c>
      <c r="BA8" s="42">
        <f t="shared" si="7"/>
        <v>105.84</v>
      </c>
      <c r="BB8" s="42"/>
      <c r="BC8" s="76">
        <f t="shared" si="8"/>
        <v>0.49957066804052885</v>
      </c>
      <c r="BD8" s="76">
        <f t="shared" si="8"/>
        <v>0.49971671388101979</v>
      </c>
      <c r="BE8" s="42"/>
    </row>
    <row r="9" spans="1:57" x14ac:dyDescent="0.25">
      <c r="A9"/>
      <c r="D9" s="162"/>
      <c r="E9" s="162"/>
      <c r="F9" s="41"/>
      <c r="G9" s="153"/>
      <c r="H9" s="153"/>
      <c r="I9" s="75"/>
      <c r="J9" s="156"/>
      <c r="K9" s="156"/>
      <c r="L9" s="75"/>
      <c r="M9" s="134"/>
      <c r="N9" s="134"/>
      <c r="P9" s="134"/>
      <c r="Q9" s="134"/>
      <c r="S9" s="140"/>
      <c r="T9" s="140"/>
      <c r="V9" s="40"/>
      <c r="W9" s="40"/>
      <c r="Y9" s="41"/>
      <c r="Z9" s="41"/>
      <c r="AK9" s="130"/>
      <c r="AL9" s="130"/>
      <c r="AM9" s="40"/>
      <c r="AN9" s="40"/>
      <c r="AO9" s="40"/>
      <c r="AP9" s="40"/>
      <c r="AQ9" s="145"/>
      <c r="AR9" s="145"/>
      <c r="AS9" s="40"/>
      <c r="AT9" s="146"/>
      <c r="AU9" s="146"/>
      <c r="AV9" s="40"/>
      <c r="AW9" s="76"/>
      <c r="AX9" s="76"/>
      <c r="AY9" s="42"/>
      <c r="AZ9" s="42"/>
      <c r="BA9" s="42"/>
      <c r="BB9" s="42"/>
      <c r="BC9" s="76"/>
      <c r="BD9" s="76"/>
      <c r="BE9" s="42"/>
    </row>
    <row r="10" spans="1:57" x14ac:dyDescent="0.25">
      <c r="A10" s="167" t="s">
        <v>137</v>
      </c>
      <c r="B10" s="4"/>
      <c r="D10" s="162"/>
      <c r="E10" s="162"/>
      <c r="F10" s="41"/>
      <c r="G10" s="153"/>
      <c r="H10" s="153"/>
      <c r="J10" s="154"/>
      <c r="K10" s="154"/>
      <c r="M10" s="134"/>
      <c r="N10" s="134"/>
      <c r="P10" s="134"/>
      <c r="Q10" s="134"/>
      <c r="S10" s="140"/>
      <c r="T10" s="140"/>
      <c r="V10" s="40"/>
      <c r="W10" s="40"/>
      <c r="Y10" s="41"/>
      <c r="Z10" s="41"/>
      <c r="AK10" s="130"/>
      <c r="AL10" s="130"/>
      <c r="AM10" s="40"/>
      <c r="AN10" s="40"/>
      <c r="AO10" s="40"/>
      <c r="AP10" s="40"/>
      <c r="AQ10" s="145"/>
      <c r="AR10" s="145"/>
      <c r="AS10" s="40"/>
      <c r="AT10" s="146"/>
      <c r="AU10" s="146"/>
      <c r="AV10" s="40"/>
      <c r="AW10" s="76"/>
      <c r="AX10" s="76"/>
      <c r="AY10" s="42"/>
      <c r="AZ10" s="42"/>
      <c r="BA10" s="42"/>
      <c r="BB10" s="42"/>
      <c r="BC10" s="76"/>
      <c r="BD10" s="76"/>
      <c r="BE10" s="42"/>
    </row>
    <row r="11" spans="1:57" x14ac:dyDescent="0.25">
      <c r="A11" t="s">
        <v>133</v>
      </c>
      <c r="D11" s="162">
        <f>ROUND('AMT Silver Standard re 1 Apr25'!D11+'AMT Silver Inc Cruise 1 Apr25+'!$B$57,2)</f>
        <v>34.07</v>
      </c>
      <c r="E11" s="162">
        <f>ROUND('AMT Silver Standard re 1 Apr25'!E11+'AMT Silver Inc Cruise 1 Apr25+'!$B$58,2)</f>
        <v>61.38</v>
      </c>
      <c r="F11" s="81"/>
      <c r="G11" s="153">
        <f t="shared" ref="G11:H14" si="18">D11*SUM(1+$G$1/$Y$1)</f>
        <v>40.884</v>
      </c>
      <c r="H11" s="153">
        <f t="shared" si="18"/>
        <v>73.656000000000006</v>
      </c>
      <c r="J11" s="155">
        <f t="shared" ref="J11:K14" si="19">G11-D11</f>
        <v>6.8140000000000001</v>
      </c>
      <c r="K11" s="155">
        <f t="shared" si="19"/>
        <v>12.276000000000003</v>
      </c>
      <c r="M11" s="134">
        <f>ROUND(D11*(1+$G$1*2),2)*SUM(1+$M$1)</f>
        <v>44.968000000000004</v>
      </c>
      <c r="N11" s="134">
        <f>ROUND(E11*(1+$G$1*2),2)*SUM(1+$M$1)</f>
        <v>81.025999999999996</v>
      </c>
      <c r="P11" s="134">
        <f t="shared" ref="P11:Q14" si="20">M11-D11</f>
        <v>10.898000000000003</v>
      </c>
      <c r="Q11" s="134">
        <f t="shared" si="20"/>
        <v>19.645999999999994</v>
      </c>
      <c r="S11" s="141">
        <f t="shared" ref="S11:T14" si="21">AK11/G11</f>
        <v>0.10003913511398102</v>
      </c>
      <c r="T11" s="141">
        <f t="shared" si="21"/>
        <v>0.10005973715651134</v>
      </c>
      <c r="V11" s="41">
        <f t="shared" ref="V11:W14" si="22">SUM(D11/(1-$Y$1))</f>
        <v>68.14</v>
      </c>
      <c r="W11" s="41">
        <f t="shared" si="22"/>
        <v>122.76</v>
      </c>
      <c r="Y11" s="41">
        <f>ROUND(D11/(1-$Y$1)*1.2,2)</f>
        <v>81.77</v>
      </c>
      <c r="Z11" s="41">
        <f>ROUND(E11/(1-$Y$1)*1.2,2)</f>
        <v>147.31</v>
      </c>
      <c r="AB11" s="182">
        <f t="shared" ref="AB11:AC14" si="23">ROUNDDOWN(D11/(1-$Y$1)*1.2,1)</f>
        <v>81.7</v>
      </c>
      <c r="AC11" s="182">
        <f t="shared" si="23"/>
        <v>147.30000000000001</v>
      </c>
      <c r="AE11" s="40">
        <f t="shared" ref="AE11:AF14" si="24">AB11/1.2</f>
        <v>68.083333333333343</v>
      </c>
      <c r="AF11" s="40">
        <f t="shared" si="24"/>
        <v>122.75000000000001</v>
      </c>
      <c r="AH11" s="40">
        <f t="shared" ref="AH11:AI14" si="25">Y11-AB11</f>
        <v>6.9999999999993179E-2</v>
      </c>
      <c r="AI11" s="40">
        <f t="shared" si="25"/>
        <v>9.9999999999909051E-3</v>
      </c>
      <c r="AK11" s="130">
        <f t="shared" ref="AK11:AL14" si="26">ROUND(M11*(1-(1/(1+$AL$1))),2)</f>
        <v>4.09</v>
      </c>
      <c r="AL11" s="130">
        <f t="shared" si="26"/>
        <v>7.37</v>
      </c>
      <c r="AM11" s="40"/>
      <c r="AN11" s="40">
        <f t="shared" ref="AN11:AN14" si="27">SUM(V11-G11)-AH11</f>
        <v>27.186000000000007</v>
      </c>
      <c r="AO11" s="40">
        <f t="shared" ref="AO11:AO14" si="28">SUM(W11-H11)-AI11</f>
        <v>49.094000000000008</v>
      </c>
      <c r="AP11" s="40"/>
      <c r="AQ11" s="144">
        <f t="shared" ref="AQ11:AR14" si="29">(SUM(G11-D11)/D11*$Y$1)</f>
        <v>0.1</v>
      </c>
      <c r="AR11" s="144">
        <f t="shared" si="29"/>
        <v>0.10000000000000002</v>
      </c>
      <c r="AS11" s="40"/>
      <c r="AT11" s="146">
        <f t="shared" ref="AT11:AU14" si="30">AN11/V11</f>
        <v>0.39897270325799833</v>
      </c>
      <c r="AU11" s="146">
        <f t="shared" si="30"/>
        <v>0.39991854024112095</v>
      </c>
      <c r="AV11" s="40"/>
      <c r="AW11" s="76">
        <f t="shared" ref="AW11:AX14" si="31">D11/V11</f>
        <v>0.5</v>
      </c>
      <c r="AX11" s="76">
        <f t="shared" si="31"/>
        <v>0.5</v>
      </c>
      <c r="AY11" s="42"/>
      <c r="AZ11" s="42">
        <f t="shared" ref="AZ11:BA14" si="32">J11+AN11</f>
        <v>34.000000000000007</v>
      </c>
      <c r="BA11" s="42">
        <f t="shared" si="32"/>
        <v>61.370000000000012</v>
      </c>
      <c r="BB11" s="42"/>
      <c r="BC11" s="76">
        <f t="shared" ref="BC11:BD14" si="33">AZ11/(D11/$Y$1)</f>
        <v>0.49897270325799836</v>
      </c>
      <c r="BD11" s="76">
        <f t="shared" si="33"/>
        <v>0.49991854024112098</v>
      </c>
      <c r="BE11" s="42"/>
    </row>
    <row r="12" spans="1:57" x14ac:dyDescent="0.25">
      <c r="A12" t="s">
        <v>134</v>
      </c>
      <c r="D12" s="162">
        <f>ROUND(D11*1.5,2)</f>
        <v>51.11</v>
      </c>
      <c r="E12" s="162">
        <f>ROUND(E11*1.5,2)</f>
        <v>92.07</v>
      </c>
      <c r="F12" s="81"/>
      <c r="G12" s="153">
        <f t="shared" si="18"/>
        <v>61.331999999999994</v>
      </c>
      <c r="H12" s="153">
        <f t="shared" si="18"/>
        <v>110.48399999999999</v>
      </c>
      <c r="J12" s="155">
        <f t="shared" si="19"/>
        <v>10.221999999999994</v>
      </c>
      <c r="K12" s="155">
        <f t="shared" si="19"/>
        <v>18.414000000000001</v>
      </c>
      <c r="M12" s="134">
        <f>ROUND(D12*(1+$G$1*2),2)*SUM(1+$M$1)</f>
        <v>67.463000000000008</v>
      </c>
      <c r="N12" s="134">
        <f t="shared" ref="M12:N14" si="34">ROUND(E12*(1+$G$1*2),2)*SUM(1+$M$1)</f>
        <v>121.52800000000002</v>
      </c>
      <c r="P12" s="134">
        <f t="shared" si="20"/>
        <v>16.353000000000009</v>
      </c>
      <c r="Q12" s="134">
        <f t="shared" si="20"/>
        <v>29.458000000000027</v>
      </c>
      <c r="S12" s="141">
        <f t="shared" si="21"/>
        <v>9.9947824952716369E-2</v>
      </c>
      <c r="T12" s="141">
        <f t="shared" si="21"/>
        <v>0.10001448173491186</v>
      </c>
      <c r="V12" s="41">
        <f t="shared" si="22"/>
        <v>102.22</v>
      </c>
      <c r="W12" s="41">
        <f t="shared" si="22"/>
        <v>184.14</v>
      </c>
      <c r="Y12" s="41">
        <f t="shared" ref="Y12:Z14" si="35">ROUND(D12/(1-$Y$1)*1.2,2)</f>
        <v>122.66</v>
      </c>
      <c r="Z12" s="41">
        <f t="shared" si="35"/>
        <v>220.97</v>
      </c>
      <c r="AB12" s="182">
        <f t="shared" si="23"/>
        <v>122.6</v>
      </c>
      <c r="AC12" s="182">
        <f t="shared" si="23"/>
        <v>220.9</v>
      </c>
      <c r="AE12" s="40">
        <f t="shared" si="24"/>
        <v>102.16666666666667</v>
      </c>
      <c r="AF12" s="40">
        <f t="shared" si="24"/>
        <v>184.08333333333334</v>
      </c>
      <c r="AH12" s="40">
        <f t="shared" si="25"/>
        <v>6.0000000000002274E-2</v>
      </c>
      <c r="AI12" s="40">
        <f t="shared" si="25"/>
        <v>6.9999999999993179E-2</v>
      </c>
      <c r="AK12" s="130">
        <f t="shared" si="26"/>
        <v>6.13</v>
      </c>
      <c r="AL12" s="130">
        <f t="shared" si="26"/>
        <v>11.05</v>
      </c>
      <c r="AM12" s="40"/>
      <c r="AN12" s="40">
        <f t="shared" si="27"/>
        <v>40.828000000000003</v>
      </c>
      <c r="AO12" s="40">
        <f t="shared" si="28"/>
        <v>73.585999999999999</v>
      </c>
      <c r="AP12" s="40"/>
      <c r="AQ12" s="144">
        <f t="shared" si="29"/>
        <v>9.999999999999995E-2</v>
      </c>
      <c r="AR12" s="144">
        <f t="shared" si="29"/>
        <v>0.10000000000000002</v>
      </c>
      <c r="AS12" s="40"/>
      <c r="AT12" s="146">
        <f t="shared" si="30"/>
        <v>0.39941303071805911</v>
      </c>
      <c r="AU12" s="146">
        <f t="shared" si="30"/>
        <v>0.39961985445856418</v>
      </c>
      <c r="AV12" s="40"/>
      <c r="AW12" s="76">
        <f t="shared" si="31"/>
        <v>0.5</v>
      </c>
      <c r="AX12" s="76">
        <f t="shared" si="31"/>
        <v>0.5</v>
      </c>
      <c r="AY12" s="42"/>
      <c r="AZ12" s="42">
        <f t="shared" si="32"/>
        <v>51.05</v>
      </c>
      <c r="BA12" s="42">
        <f t="shared" si="32"/>
        <v>92</v>
      </c>
      <c r="BB12" s="42"/>
      <c r="BC12" s="76">
        <f t="shared" si="33"/>
        <v>0.49941303071805909</v>
      </c>
      <c r="BD12" s="76">
        <f t="shared" si="33"/>
        <v>0.49961985445856416</v>
      </c>
      <c r="BE12" s="42"/>
    </row>
    <row r="13" spans="1:57" x14ac:dyDescent="0.25">
      <c r="A13" t="s">
        <v>135</v>
      </c>
      <c r="D13" s="162">
        <f>ROUND('AMT Silver Standard re 1 Apr25'!D13+'AMT Silver Inc Cruise 1 Apr25+'!$B$57,2)</f>
        <v>55.93</v>
      </c>
      <c r="E13" s="162">
        <f>ROUND('AMT Silver Standard re 1 Apr25'!E13+'AMT Silver Inc Cruise 1 Apr25+'!$B$58,2)</f>
        <v>102.82</v>
      </c>
      <c r="F13" s="81"/>
      <c r="G13" s="153">
        <f t="shared" si="18"/>
        <v>67.116</v>
      </c>
      <c r="H13" s="153">
        <f t="shared" si="18"/>
        <v>123.38399999999999</v>
      </c>
      <c r="J13" s="155">
        <f t="shared" si="19"/>
        <v>11.186</v>
      </c>
      <c r="K13" s="155">
        <f t="shared" si="19"/>
        <v>20.563999999999993</v>
      </c>
      <c r="M13" s="134">
        <f t="shared" si="34"/>
        <v>73.832000000000008</v>
      </c>
      <c r="N13" s="134">
        <f t="shared" si="34"/>
        <v>135.71800000000002</v>
      </c>
      <c r="P13" s="134">
        <f t="shared" si="20"/>
        <v>17.902000000000008</v>
      </c>
      <c r="Q13" s="134">
        <f t="shared" si="20"/>
        <v>32.898000000000025</v>
      </c>
      <c r="S13" s="141">
        <f t="shared" si="21"/>
        <v>9.9976160677036768E-2</v>
      </c>
      <c r="T13" s="141">
        <f t="shared" si="21"/>
        <v>0.10001296764572393</v>
      </c>
      <c r="V13" s="41">
        <f t="shared" si="22"/>
        <v>111.86</v>
      </c>
      <c r="W13" s="41">
        <f t="shared" si="22"/>
        <v>205.64</v>
      </c>
      <c r="Y13" s="41">
        <f t="shared" si="35"/>
        <v>134.22999999999999</v>
      </c>
      <c r="Z13" s="41">
        <f t="shared" si="35"/>
        <v>246.77</v>
      </c>
      <c r="AB13" s="182">
        <f t="shared" si="23"/>
        <v>134.19999999999999</v>
      </c>
      <c r="AC13" s="182">
        <f t="shared" si="23"/>
        <v>246.7</v>
      </c>
      <c r="AE13" s="40">
        <f t="shared" si="24"/>
        <v>111.83333333333333</v>
      </c>
      <c r="AF13" s="40">
        <f t="shared" si="24"/>
        <v>205.58333333333334</v>
      </c>
      <c r="AH13" s="40">
        <f t="shared" si="25"/>
        <v>3.0000000000001137E-2</v>
      </c>
      <c r="AI13" s="40">
        <f t="shared" si="25"/>
        <v>7.00000000000216E-2</v>
      </c>
      <c r="AK13" s="130">
        <f t="shared" si="26"/>
        <v>6.71</v>
      </c>
      <c r="AL13" s="130">
        <f t="shared" si="26"/>
        <v>12.34</v>
      </c>
      <c r="AM13" s="40"/>
      <c r="AN13" s="40">
        <f t="shared" si="27"/>
        <v>44.713999999999999</v>
      </c>
      <c r="AO13" s="40">
        <f t="shared" si="28"/>
        <v>82.185999999999979</v>
      </c>
      <c r="AP13" s="40"/>
      <c r="AQ13" s="144">
        <f t="shared" si="29"/>
        <v>0.1</v>
      </c>
      <c r="AR13" s="144">
        <f t="shared" si="29"/>
        <v>9.9999999999999978E-2</v>
      </c>
      <c r="AS13" s="40"/>
      <c r="AT13" s="146">
        <f t="shared" si="30"/>
        <v>0.39973180761666366</v>
      </c>
      <c r="AU13" s="146">
        <f t="shared" si="30"/>
        <v>0.39965959929974704</v>
      </c>
      <c r="AV13" s="40"/>
      <c r="AW13" s="76">
        <f t="shared" si="31"/>
        <v>0.5</v>
      </c>
      <c r="AX13" s="76">
        <f t="shared" si="31"/>
        <v>0.5</v>
      </c>
      <c r="AY13" s="42"/>
      <c r="AZ13" s="42">
        <f t="shared" si="32"/>
        <v>55.9</v>
      </c>
      <c r="BA13" s="42">
        <f t="shared" si="32"/>
        <v>102.74999999999997</v>
      </c>
      <c r="BB13" s="42"/>
      <c r="BC13" s="76">
        <f t="shared" si="33"/>
        <v>0.49973180761666369</v>
      </c>
      <c r="BD13" s="76">
        <f t="shared" si="33"/>
        <v>0.49965959929974701</v>
      </c>
      <c r="BE13" s="42"/>
    </row>
    <row r="14" spans="1:57" x14ac:dyDescent="0.25">
      <c r="A14" t="s">
        <v>136</v>
      </c>
      <c r="D14" s="162">
        <f>ROUND('AMT Silver Standard re 1 Apr25'!D14+'AMT Silver Inc Cruise 1 Apr25+'!$B$57,2)</f>
        <v>58.23</v>
      </c>
      <c r="E14" s="162">
        <f>ROUND('AMT Silver Standard re 1 Apr25'!E14+'AMT Silver Inc Cruise 1 Apr25+'!$B$58,2)</f>
        <v>105.9</v>
      </c>
      <c r="F14" s="81"/>
      <c r="G14" s="153">
        <f t="shared" si="18"/>
        <v>69.875999999999991</v>
      </c>
      <c r="H14" s="153">
        <f t="shared" si="18"/>
        <v>127.08</v>
      </c>
      <c r="J14" s="155">
        <f t="shared" si="19"/>
        <v>11.645999999999994</v>
      </c>
      <c r="K14" s="155">
        <f t="shared" si="19"/>
        <v>21.179999999999993</v>
      </c>
      <c r="M14" s="134">
        <f t="shared" si="34"/>
        <v>76.867999999999995</v>
      </c>
      <c r="N14" s="134">
        <f t="shared" si="34"/>
        <v>139.78800000000001</v>
      </c>
      <c r="P14" s="134">
        <f t="shared" si="20"/>
        <v>18.637999999999998</v>
      </c>
      <c r="Q14" s="134">
        <f t="shared" si="20"/>
        <v>33.888000000000005</v>
      </c>
      <c r="S14" s="141">
        <f t="shared" si="21"/>
        <v>0.10003434655675771</v>
      </c>
      <c r="T14" s="141">
        <f t="shared" si="21"/>
        <v>0.10001573811772113</v>
      </c>
      <c r="V14" s="41">
        <f t="shared" si="22"/>
        <v>116.46</v>
      </c>
      <c r="W14" s="41">
        <f t="shared" si="22"/>
        <v>211.8</v>
      </c>
      <c r="Y14" s="41">
        <f t="shared" si="35"/>
        <v>139.75</v>
      </c>
      <c r="Z14" s="41">
        <f t="shared" si="35"/>
        <v>254.16</v>
      </c>
      <c r="AB14" s="182">
        <f t="shared" si="23"/>
        <v>139.69999999999999</v>
      </c>
      <c r="AC14" s="182">
        <f t="shared" si="23"/>
        <v>254.1</v>
      </c>
      <c r="AE14" s="40">
        <f t="shared" si="24"/>
        <v>116.41666666666666</v>
      </c>
      <c r="AF14" s="40">
        <f t="shared" si="24"/>
        <v>211.75</v>
      </c>
      <c r="AH14" s="40">
        <f t="shared" si="25"/>
        <v>5.0000000000011369E-2</v>
      </c>
      <c r="AI14" s="40">
        <f t="shared" si="25"/>
        <v>6.0000000000002274E-2</v>
      </c>
      <c r="AK14" s="130">
        <f t="shared" si="26"/>
        <v>6.99</v>
      </c>
      <c r="AL14" s="130">
        <f t="shared" si="26"/>
        <v>12.71</v>
      </c>
      <c r="AM14" s="40"/>
      <c r="AN14" s="40">
        <f t="shared" si="27"/>
        <v>46.533999999999992</v>
      </c>
      <c r="AO14" s="40">
        <f t="shared" si="28"/>
        <v>84.660000000000011</v>
      </c>
      <c r="AP14" s="40"/>
      <c r="AQ14" s="144">
        <f t="shared" si="29"/>
        <v>9.999999999999995E-2</v>
      </c>
      <c r="AR14" s="144">
        <f t="shared" si="29"/>
        <v>9.9999999999999964E-2</v>
      </c>
      <c r="AS14" s="40"/>
      <c r="AT14" s="146">
        <f t="shared" si="30"/>
        <v>0.39957066804052888</v>
      </c>
      <c r="AU14" s="146">
        <f t="shared" si="30"/>
        <v>0.39971671388101987</v>
      </c>
      <c r="AV14" s="40"/>
      <c r="AW14" s="76">
        <f t="shared" si="31"/>
        <v>0.5</v>
      </c>
      <c r="AX14" s="76">
        <f t="shared" si="31"/>
        <v>0.5</v>
      </c>
      <c r="AY14" s="42"/>
      <c r="AZ14" s="42">
        <f t="shared" si="32"/>
        <v>58.179999999999986</v>
      </c>
      <c r="BA14" s="42">
        <f t="shared" si="32"/>
        <v>105.84</v>
      </c>
      <c r="BB14" s="42"/>
      <c r="BC14" s="76">
        <f t="shared" si="33"/>
        <v>0.49957066804052885</v>
      </c>
      <c r="BD14" s="76">
        <f t="shared" si="33"/>
        <v>0.49971671388101979</v>
      </c>
      <c r="BE14" s="42"/>
    </row>
    <row r="15" spans="1:57" x14ac:dyDescent="0.25">
      <c r="A15"/>
      <c r="D15" s="150"/>
      <c r="E15" s="150"/>
      <c r="F15" s="41"/>
      <c r="G15" s="153"/>
      <c r="H15" s="153"/>
      <c r="J15" s="154"/>
      <c r="K15" s="154"/>
      <c r="M15" s="134"/>
      <c r="N15" s="134"/>
      <c r="P15" s="134"/>
      <c r="Q15" s="134"/>
      <c r="S15" s="140"/>
      <c r="T15" s="140"/>
      <c r="V15" s="40"/>
      <c r="W15" s="40"/>
      <c r="Y15" s="41"/>
      <c r="Z15" s="41"/>
      <c r="AK15" s="130"/>
      <c r="AL15" s="130"/>
      <c r="AM15" s="40"/>
      <c r="AN15" s="40"/>
      <c r="AO15" s="40"/>
      <c r="AP15" s="40"/>
      <c r="AQ15" s="145"/>
      <c r="AR15" s="145"/>
      <c r="AS15" s="40"/>
      <c r="AT15" s="146"/>
      <c r="AU15" s="146"/>
      <c r="AV15" s="40"/>
      <c r="AW15" s="76"/>
      <c r="AX15" s="76"/>
      <c r="AY15" s="42"/>
      <c r="AZ15" s="42"/>
      <c r="BA15" s="42"/>
      <c r="BB15" s="42"/>
      <c r="BC15" s="76"/>
      <c r="BD15" s="76"/>
      <c r="BE15" s="42"/>
    </row>
    <row r="16" spans="1:57" x14ac:dyDescent="0.25">
      <c r="A16" s="167" t="s">
        <v>138</v>
      </c>
      <c r="B16" s="4"/>
      <c r="D16" s="149"/>
      <c r="E16" s="149"/>
      <c r="F16" s="41"/>
      <c r="G16" s="153"/>
      <c r="H16" s="153"/>
      <c r="J16" s="154"/>
      <c r="K16" s="154"/>
      <c r="M16" s="134"/>
      <c r="N16" s="134"/>
      <c r="P16" s="134"/>
      <c r="Q16" s="134"/>
      <c r="S16" s="140"/>
      <c r="T16" s="140"/>
      <c r="V16" s="40"/>
      <c r="W16" s="40"/>
      <c r="Y16" s="41"/>
      <c r="Z16" s="41"/>
      <c r="AK16" s="130"/>
      <c r="AL16" s="130"/>
      <c r="AM16" s="40"/>
      <c r="AN16" s="40"/>
      <c r="AO16" s="40"/>
      <c r="AP16" s="40"/>
      <c r="AQ16" s="145"/>
      <c r="AR16" s="145"/>
      <c r="AS16" s="40"/>
      <c r="AT16" s="146"/>
      <c r="AU16" s="146"/>
      <c r="AV16" s="40"/>
      <c r="AW16" s="76"/>
      <c r="AX16" s="76"/>
      <c r="AY16" s="42"/>
      <c r="AZ16" s="42"/>
      <c r="BA16" s="42"/>
      <c r="BB16" s="42"/>
      <c r="BC16" s="76"/>
      <c r="BD16" s="76"/>
      <c r="BE16" s="42"/>
    </row>
    <row r="17" spans="1:57" x14ac:dyDescent="0.25">
      <c r="A17" t="s">
        <v>133</v>
      </c>
      <c r="D17" s="162">
        <f>ROUND('AMT Silver Standard re 1 Apr25'!D17+'AMT Silver Inc Cruise 1 Apr25+'!$B$57,2)</f>
        <v>74.53</v>
      </c>
      <c r="E17" s="162">
        <f>ROUND('AMT Silver Standard re 1 Apr25'!E17+'AMT Silver Inc Cruise 1 Apr25+'!$B$58,2)</f>
        <v>141.22</v>
      </c>
      <c r="F17" s="81"/>
      <c r="G17" s="153">
        <f t="shared" ref="G17:H20" si="36">D17*SUM(1+$G$1/$Y$1)</f>
        <v>89.435999999999993</v>
      </c>
      <c r="H17" s="153">
        <f t="shared" si="36"/>
        <v>169.464</v>
      </c>
      <c r="I17" s="83"/>
      <c r="J17" s="155">
        <f t="shared" ref="J17:K20" si="37">G17-D17</f>
        <v>14.905999999999992</v>
      </c>
      <c r="K17" s="155">
        <f t="shared" si="37"/>
        <v>28.244</v>
      </c>
      <c r="L17" s="83"/>
      <c r="M17" s="134">
        <f>ROUND(D17*(1+$G$1*2),2)*SUM(1+$M$1)</f>
        <v>98.384</v>
      </c>
      <c r="N17" s="134">
        <f>ROUND(E17*(1+$G$1*2),2)*SUM(1+$M$1)</f>
        <v>186.40600000000003</v>
      </c>
      <c r="P17" s="134">
        <f t="shared" ref="P17:Q20" si="38">M17-D17</f>
        <v>23.853999999999999</v>
      </c>
      <c r="Q17" s="134">
        <f t="shared" si="38"/>
        <v>45.186000000000035</v>
      </c>
      <c r="S17" s="141">
        <f t="shared" ref="S17:T20" si="39">AK17/G17</f>
        <v>9.9959747752582859E-2</v>
      </c>
      <c r="T17" s="141">
        <f t="shared" si="39"/>
        <v>0.10002124344993626</v>
      </c>
      <c r="V17" s="41">
        <f t="shared" ref="V17:W20" si="40">SUM(D17/(1-$Y$1))</f>
        <v>149.06</v>
      </c>
      <c r="W17" s="41">
        <f t="shared" si="40"/>
        <v>282.44</v>
      </c>
      <c r="Y17" s="41">
        <f>ROUND(D17/(1-$Y$1)*1.2,2)</f>
        <v>178.87</v>
      </c>
      <c r="Z17" s="41">
        <f>ROUND(E17/(1-$Y$1)*1.2,2)</f>
        <v>338.93</v>
      </c>
      <c r="AB17" s="182">
        <f t="shared" ref="AB17:AC20" si="41">ROUNDDOWN(D17/(1-$Y$1)*1.2,1)</f>
        <v>178.8</v>
      </c>
      <c r="AC17" s="182">
        <f t="shared" si="41"/>
        <v>338.9</v>
      </c>
      <c r="AE17" s="40">
        <f t="shared" ref="AE17:AF20" si="42">AB17/1.2</f>
        <v>149.00000000000003</v>
      </c>
      <c r="AF17" s="40">
        <f t="shared" si="42"/>
        <v>282.41666666666669</v>
      </c>
      <c r="AH17" s="40">
        <f t="shared" ref="AH17:AI20" si="43">Y17-AB17</f>
        <v>6.9999999999993179E-2</v>
      </c>
      <c r="AI17" s="40">
        <f t="shared" si="43"/>
        <v>3.0000000000029559E-2</v>
      </c>
      <c r="AK17" s="130">
        <f t="shared" ref="AK17:AL20" si="44">ROUND(M17*(1-(1/(1+$AL$1))),2)</f>
        <v>8.94</v>
      </c>
      <c r="AL17" s="130">
        <f t="shared" si="44"/>
        <v>16.95</v>
      </c>
      <c r="AM17" s="40"/>
      <c r="AN17" s="40">
        <f t="shared" ref="AN17:AN20" si="45">SUM(V17-G17)-AH17</f>
        <v>59.554000000000016</v>
      </c>
      <c r="AO17" s="40">
        <f t="shared" ref="AO17:AO20" si="46">SUM(W17-H17)-AI17</f>
        <v>112.94599999999997</v>
      </c>
      <c r="AP17" s="40"/>
      <c r="AQ17" s="144">
        <f t="shared" ref="AQ17:AR20" si="47">(SUM(G17-D17)/D17*$Y$1)</f>
        <v>9.9999999999999936E-2</v>
      </c>
      <c r="AR17" s="144">
        <f t="shared" si="47"/>
        <v>0.1</v>
      </c>
      <c r="AS17" s="40"/>
      <c r="AT17" s="146">
        <f t="shared" ref="AT17:AU20" si="48">AN17/V17</f>
        <v>0.39953039044680005</v>
      </c>
      <c r="AU17" s="146">
        <f t="shared" si="48"/>
        <v>0.39989378275031856</v>
      </c>
      <c r="AV17" s="40"/>
      <c r="AW17" s="76">
        <f t="shared" ref="AW17:AX20" si="49">D17/V17</f>
        <v>0.5</v>
      </c>
      <c r="AX17" s="76">
        <f t="shared" si="49"/>
        <v>0.5</v>
      </c>
      <c r="AY17" s="42"/>
      <c r="AZ17" s="42">
        <f t="shared" ref="AZ17:BA20" si="50">J17+AN17</f>
        <v>74.460000000000008</v>
      </c>
      <c r="BA17" s="42">
        <f t="shared" si="50"/>
        <v>141.18999999999997</v>
      </c>
      <c r="BB17" s="42"/>
      <c r="BC17" s="76">
        <f t="shared" ref="BC17:BD20" si="51">AZ17/(D17/$Y$1)</f>
        <v>0.49953039044679998</v>
      </c>
      <c r="BD17" s="76">
        <f t="shared" si="51"/>
        <v>0.49989378275031854</v>
      </c>
      <c r="BE17" s="42"/>
    </row>
    <row r="18" spans="1:57" x14ac:dyDescent="0.25">
      <c r="A18" t="s">
        <v>134</v>
      </c>
      <c r="D18" s="162">
        <f>ROUND(D17*1.5,2)</f>
        <v>111.8</v>
      </c>
      <c r="E18" s="162">
        <f>ROUND(E17*1.5,2)</f>
        <v>211.83</v>
      </c>
      <c r="F18" s="81"/>
      <c r="G18" s="153">
        <f t="shared" si="36"/>
        <v>134.16</v>
      </c>
      <c r="H18" s="153">
        <f t="shared" si="36"/>
        <v>254.196</v>
      </c>
      <c r="I18" s="83"/>
      <c r="J18" s="155">
        <f t="shared" si="37"/>
        <v>22.36</v>
      </c>
      <c r="K18" s="155">
        <f t="shared" si="37"/>
        <v>42.365999999999985</v>
      </c>
      <c r="L18" s="83"/>
      <c r="M18" s="134">
        <f t="shared" ref="M18:N20" si="52">ROUND(D18*(1+$G$1*2),2)*SUM(1+$M$1)</f>
        <v>147.57600000000002</v>
      </c>
      <c r="N18" s="134">
        <f t="shared" si="52"/>
        <v>279.62</v>
      </c>
      <c r="P18" s="134">
        <f t="shared" si="38"/>
        <v>35.776000000000025</v>
      </c>
      <c r="Q18" s="134">
        <f t="shared" si="38"/>
        <v>67.789999999999992</v>
      </c>
      <c r="S18" s="141">
        <f t="shared" si="39"/>
        <v>0.10002981514609421</v>
      </c>
      <c r="T18" s="141">
        <f t="shared" si="39"/>
        <v>0.10000157358888417</v>
      </c>
      <c r="V18" s="41">
        <f t="shared" si="40"/>
        <v>223.6</v>
      </c>
      <c r="W18" s="41">
        <f t="shared" si="40"/>
        <v>423.66</v>
      </c>
      <c r="Y18" s="41">
        <f t="shared" ref="Y18:Z20" si="53">ROUND(D18/(1-$Y$1)*1.2,2)</f>
        <v>268.32</v>
      </c>
      <c r="Z18" s="41">
        <f t="shared" si="53"/>
        <v>508.39</v>
      </c>
      <c r="AB18" s="182">
        <f t="shared" si="41"/>
        <v>268.3</v>
      </c>
      <c r="AC18" s="182">
        <f t="shared" si="41"/>
        <v>508.3</v>
      </c>
      <c r="AE18" s="40">
        <f t="shared" si="42"/>
        <v>223.58333333333334</v>
      </c>
      <c r="AF18" s="40">
        <f t="shared" si="42"/>
        <v>423.58333333333337</v>
      </c>
      <c r="AH18" s="40">
        <f t="shared" si="43"/>
        <v>1.999999999998181E-2</v>
      </c>
      <c r="AI18" s="40">
        <f t="shared" si="43"/>
        <v>8.9999999999974989E-2</v>
      </c>
      <c r="AK18" s="130">
        <f t="shared" si="44"/>
        <v>13.42</v>
      </c>
      <c r="AL18" s="130">
        <f t="shared" si="44"/>
        <v>25.42</v>
      </c>
      <c r="AM18" s="40"/>
      <c r="AN18" s="40">
        <f t="shared" si="45"/>
        <v>89.420000000000016</v>
      </c>
      <c r="AO18" s="40">
        <f t="shared" si="46"/>
        <v>169.37400000000005</v>
      </c>
      <c r="AP18" s="40"/>
      <c r="AQ18" s="144">
        <f t="shared" si="47"/>
        <v>0.1</v>
      </c>
      <c r="AR18" s="144">
        <f t="shared" si="47"/>
        <v>9.9999999999999964E-2</v>
      </c>
      <c r="AS18" s="40"/>
      <c r="AT18" s="146">
        <f t="shared" si="48"/>
        <v>0.39991055456171742</v>
      </c>
      <c r="AU18" s="146">
        <f t="shared" si="48"/>
        <v>0.39978756550063738</v>
      </c>
      <c r="AV18" s="40"/>
      <c r="AW18" s="76">
        <f t="shared" si="49"/>
        <v>0.5</v>
      </c>
      <c r="AX18" s="76">
        <f t="shared" si="49"/>
        <v>0.5</v>
      </c>
      <c r="AY18" s="42"/>
      <c r="AZ18" s="42">
        <f t="shared" si="50"/>
        <v>111.78000000000002</v>
      </c>
      <c r="BA18" s="42">
        <f t="shared" si="50"/>
        <v>211.74000000000004</v>
      </c>
      <c r="BB18" s="42"/>
      <c r="BC18" s="76">
        <f t="shared" si="51"/>
        <v>0.49991055456171746</v>
      </c>
      <c r="BD18" s="76">
        <f t="shared" si="51"/>
        <v>0.49978756550063735</v>
      </c>
      <c r="BE18" s="42"/>
    </row>
    <row r="19" spans="1:57" x14ac:dyDescent="0.25">
      <c r="A19" t="s">
        <v>135</v>
      </c>
      <c r="D19" s="162">
        <f>ROUND('AMT Silver Standard re 1 Apr25'!D19+'AMT Silver Inc Cruise 1 Apr25+'!$B$57,2)</f>
        <v>118.36</v>
      </c>
      <c r="E19" s="162">
        <f>ROUND('AMT Silver Standard re 1 Apr25'!E19+'AMT Silver Inc Cruise 1 Apr25+'!$B$58,2)</f>
        <v>228.29</v>
      </c>
      <c r="F19" s="81"/>
      <c r="G19" s="153">
        <f t="shared" si="36"/>
        <v>142.03199999999998</v>
      </c>
      <c r="H19" s="153">
        <f t="shared" si="36"/>
        <v>273.94799999999998</v>
      </c>
      <c r="J19" s="155">
        <f t="shared" si="37"/>
        <v>23.671999999999983</v>
      </c>
      <c r="K19" s="155">
        <f t="shared" si="37"/>
        <v>45.657999999999987</v>
      </c>
      <c r="M19" s="134">
        <f t="shared" si="52"/>
        <v>156.233</v>
      </c>
      <c r="N19" s="134">
        <f t="shared" si="52"/>
        <v>301.34500000000003</v>
      </c>
      <c r="P19" s="134">
        <f t="shared" si="38"/>
        <v>37.873000000000005</v>
      </c>
      <c r="Q19" s="134">
        <f t="shared" si="38"/>
        <v>73.055000000000035</v>
      </c>
      <c r="S19" s="141">
        <f t="shared" si="39"/>
        <v>9.9977469865945703E-2</v>
      </c>
      <c r="T19" s="141">
        <f t="shared" si="39"/>
        <v>0.10001898170455707</v>
      </c>
      <c r="V19" s="41">
        <f t="shared" si="40"/>
        <v>236.72</v>
      </c>
      <c r="W19" s="41">
        <f t="shared" si="40"/>
        <v>456.58</v>
      </c>
      <c r="Y19" s="41">
        <f t="shared" si="53"/>
        <v>284.06</v>
      </c>
      <c r="Z19" s="41">
        <f t="shared" si="53"/>
        <v>547.9</v>
      </c>
      <c r="AB19" s="182">
        <f t="shared" si="41"/>
        <v>284</v>
      </c>
      <c r="AC19" s="182">
        <f t="shared" si="41"/>
        <v>547.79999999999995</v>
      </c>
      <c r="AE19" s="40">
        <f t="shared" si="42"/>
        <v>236.66666666666669</v>
      </c>
      <c r="AF19" s="40">
        <f t="shared" si="42"/>
        <v>456.5</v>
      </c>
      <c r="AH19" s="40">
        <f t="shared" si="43"/>
        <v>6.0000000000002274E-2</v>
      </c>
      <c r="AI19" s="40">
        <f t="shared" si="43"/>
        <v>0.10000000000002274</v>
      </c>
      <c r="AK19" s="130">
        <f t="shared" si="44"/>
        <v>14.2</v>
      </c>
      <c r="AL19" s="130">
        <f t="shared" si="44"/>
        <v>27.4</v>
      </c>
      <c r="AM19" s="40"/>
      <c r="AN19" s="40">
        <f t="shared" si="45"/>
        <v>94.628000000000014</v>
      </c>
      <c r="AO19" s="40">
        <f t="shared" si="46"/>
        <v>182.53199999999998</v>
      </c>
      <c r="AP19" s="40"/>
      <c r="AQ19" s="144">
        <f t="shared" si="47"/>
        <v>9.9999999999999922E-2</v>
      </c>
      <c r="AR19" s="144">
        <f t="shared" si="47"/>
        <v>9.9999999999999978E-2</v>
      </c>
      <c r="AS19" s="40"/>
      <c r="AT19" s="146">
        <f t="shared" si="48"/>
        <v>0.3997465359918892</v>
      </c>
      <c r="AU19" s="146">
        <f t="shared" si="48"/>
        <v>0.3997809803320338</v>
      </c>
      <c r="AV19" s="40"/>
      <c r="AW19" s="76">
        <f t="shared" si="49"/>
        <v>0.5</v>
      </c>
      <c r="AX19" s="76">
        <f t="shared" si="49"/>
        <v>0.5</v>
      </c>
      <c r="AY19" s="42"/>
      <c r="AZ19" s="42">
        <f t="shared" si="50"/>
        <v>118.3</v>
      </c>
      <c r="BA19" s="42">
        <f t="shared" si="50"/>
        <v>228.18999999999997</v>
      </c>
      <c r="BB19" s="42"/>
      <c r="BC19" s="76">
        <f t="shared" si="51"/>
        <v>0.49974653599188912</v>
      </c>
      <c r="BD19" s="76">
        <f t="shared" si="51"/>
        <v>0.49978098033203378</v>
      </c>
      <c r="BE19" s="42"/>
    </row>
    <row r="20" spans="1:57" x14ac:dyDescent="0.25">
      <c r="A20" t="s">
        <v>136</v>
      </c>
      <c r="D20" s="162">
        <f>ROUND('AMT Silver Standard re 1 Apr25'!D20+'AMT Silver Inc Cruise 1 Apr25+'!$B$57,2)</f>
        <v>128.34</v>
      </c>
      <c r="E20" s="162">
        <f>ROUND('AMT Silver Standard re 1 Apr25'!E20+'AMT Silver Inc Cruise 1 Apr25+'!$B$58,2)</f>
        <v>244.53</v>
      </c>
      <c r="F20" s="81"/>
      <c r="G20" s="153">
        <f t="shared" si="36"/>
        <v>154.00800000000001</v>
      </c>
      <c r="H20" s="153">
        <f t="shared" si="36"/>
        <v>293.43599999999998</v>
      </c>
      <c r="J20" s="155">
        <f t="shared" si="37"/>
        <v>25.668000000000006</v>
      </c>
      <c r="K20" s="155">
        <f t="shared" si="37"/>
        <v>48.905999999999977</v>
      </c>
      <c r="M20" s="134">
        <f t="shared" si="52"/>
        <v>169.411</v>
      </c>
      <c r="N20" s="134">
        <f t="shared" si="52"/>
        <v>322.78400000000005</v>
      </c>
      <c r="P20" s="134">
        <f t="shared" si="38"/>
        <v>41.070999999999998</v>
      </c>
      <c r="Q20" s="134">
        <f t="shared" si="38"/>
        <v>78.254000000000048</v>
      </c>
      <c r="S20" s="141">
        <f t="shared" si="39"/>
        <v>9.9994805464651185E-2</v>
      </c>
      <c r="T20" s="141">
        <f t="shared" si="39"/>
        <v>9.9987731566678936E-2</v>
      </c>
      <c r="V20" s="41">
        <f t="shared" si="40"/>
        <v>256.68</v>
      </c>
      <c r="W20" s="41">
        <f t="shared" si="40"/>
        <v>489.06</v>
      </c>
      <c r="Y20" s="41">
        <f t="shared" si="53"/>
        <v>308.02</v>
      </c>
      <c r="Z20" s="41">
        <f t="shared" si="53"/>
        <v>586.87</v>
      </c>
      <c r="AB20" s="182">
        <f t="shared" si="41"/>
        <v>308</v>
      </c>
      <c r="AC20" s="182">
        <f t="shared" si="41"/>
        <v>586.79999999999995</v>
      </c>
      <c r="AE20" s="40">
        <f t="shared" si="42"/>
        <v>256.66666666666669</v>
      </c>
      <c r="AF20" s="40">
        <f t="shared" si="42"/>
        <v>489</v>
      </c>
      <c r="AH20" s="40">
        <f t="shared" si="43"/>
        <v>1.999999999998181E-2</v>
      </c>
      <c r="AI20" s="40">
        <f t="shared" si="43"/>
        <v>7.0000000000050022E-2</v>
      </c>
      <c r="AK20" s="130">
        <f t="shared" si="44"/>
        <v>15.4</v>
      </c>
      <c r="AL20" s="130">
        <f t="shared" si="44"/>
        <v>29.34</v>
      </c>
      <c r="AM20" s="40"/>
      <c r="AN20" s="40">
        <f t="shared" si="45"/>
        <v>102.65200000000002</v>
      </c>
      <c r="AO20" s="40">
        <f t="shared" si="46"/>
        <v>195.55399999999997</v>
      </c>
      <c r="AP20" s="40"/>
      <c r="AQ20" s="144">
        <f t="shared" si="47"/>
        <v>0.10000000000000002</v>
      </c>
      <c r="AR20" s="144">
        <f t="shared" si="47"/>
        <v>9.999999999999995E-2</v>
      </c>
      <c r="AS20" s="40"/>
      <c r="AT20" s="146">
        <f t="shared" si="48"/>
        <v>0.39992208196976786</v>
      </c>
      <c r="AU20" s="146">
        <f t="shared" si="48"/>
        <v>0.39985686827792083</v>
      </c>
      <c r="AV20" s="40"/>
      <c r="AW20" s="76">
        <f t="shared" si="49"/>
        <v>0.5</v>
      </c>
      <c r="AX20" s="76">
        <f t="shared" si="49"/>
        <v>0.5</v>
      </c>
      <c r="AY20" s="42"/>
      <c r="AZ20" s="42">
        <f t="shared" si="50"/>
        <v>128.32000000000002</v>
      </c>
      <c r="BA20" s="42">
        <f t="shared" si="50"/>
        <v>244.45999999999995</v>
      </c>
      <c r="BB20" s="42"/>
      <c r="BC20" s="76">
        <f t="shared" si="51"/>
        <v>0.4999220819697679</v>
      </c>
      <c r="BD20" s="76">
        <f t="shared" si="51"/>
        <v>0.49985686827792081</v>
      </c>
      <c r="BE20" s="42"/>
    </row>
    <row r="21" spans="1:57" x14ac:dyDescent="0.25">
      <c r="C21" s="104"/>
      <c r="D21" s="104"/>
      <c r="H21" s="40"/>
      <c r="I21" s="75"/>
      <c r="J21" s="75"/>
      <c r="K21" s="75"/>
      <c r="L21" s="75"/>
      <c r="V21" s="40"/>
      <c r="X21" s="41"/>
      <c r="Y21" s="40"/>
      <c r="Z21" s="40"/>
      <c r="AK21" s="76"/>
      <c r="AL21" s="76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76"/>
      <c r="AX21" s="76"/>
      <c r="AY21" s="42"/>
      <c r="AZ21" s="42"/>
      <c r="BA21" s="42"/>
      <c r="BB21" s="42"/>
      <c r="BC21" s="76"/>
      <c r="BD21" s="76"/>
      <c r="BE21" s="40"/>
    </row>
    <row r="22" spans="1:57" x14ac:dyDescent="0.25">
      <c r="A22" s="4" t="s">
        <v>139</v>
      </c>
      <c r="X22" s="41"/>
      <c r="Y22" s="40"/>
      <c r="Z22" s="40"/>
      <c r="AK22" s="76"/>
      <c r="AL22" s="76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76"/>
      <c r="AX22" s="76"/>
      <c r="AY22" s="42"/>
      <c r="AZ22" s="42"/>
      <c r="BA22" s="42"/>
      <c r="BB22" s="42"/>
      <c r="BC22" s="76"/>
      <c r="BD22" s="76"/>
      <c r="BE22" s="40"/>
    </row>
    <row r="23" spans="1:57" x14ac:dyDescent="0.25">
      <c r="A23" s="53"/>
      <c r="X23" s="41"/>
      <c r="Y23" s="40"/>
      <c r="Z23" s="40"/>
      <c r="AK23" s="76"/>
      <c r="AL23" s="76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76"/>
      <c r="AX23" s="76"/>
      <c r="AY23" s="42"/>
      <c r="AZ23" s="42"/>
      <c r="BA23" s="42"/>
      <c r="BB23" s="42"/>
      <c r="BC23" s="76"/>
      <c r="BD23" s="76"/>
      <c r="BE23" s="40"/>
    </row>
    <row r="24" spans="1:57" x14ac:dyDescent="0.25">
      <c r="A24" s="100" t="s">
        <v>132</v>
      </c>
      <c r="B24" s="52" t="s">
        <v>140</v>
      </c>
      <c r="D24" s="55" t="s">
        <v>141</v>
      </c>
      <c r="E24" s="55"/>
      <c r="F24" s="55"/>
    </row>
    <row r="25" spans="1:57" x14ac:dyDescent="0.25">
      <c r="A25" s="100" t="s">
        <v>137</v>
      </c>
      <c r="B25" s="52" t="s">
        <v>140</v>
      </c>
      <c r="F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</row>
    <row r="26" spans="1:57" x14ac:dyDescent="0.25">
      <c r="A26" s="100" t="s">
        <v>142</v>
      </c>
      <c r="B26" s="52" t="s">
        <v>140</v>
      </c>
      <c r="F26" s="40"/>
      <c r="G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</row>
    <row r="27" spans="1:57" x14ac:dyDescent="0.25">
      <c r="F27" s="40"/>
      <c r="G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</row>
    <row r="28" spans="1:57" x14ac:dyDescent="0.25">
      <c r="A28" s="99" t="s">
        <v>143</v>
      </c>
      <c r="B28" s="52" t="s">
        <v>144</v>
      </c>
      <c r="F28" s="40"/>
      <c r="G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</row>
    <row r="29" spans="1:57" x14ac:dyDescent="0.25">
      <c r="G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</row>
    <row r="30" spans="1:57" ht="45" customHeight="1" x14ac:dyDescent="0.25">
      <c r="A30" s="159" t="s">
        <v>145</v>
      </c>
      <c r="B30" s="246" t="s">
        <v>146</v>
      </c>
      <c r="C30" s="246"/>
      <c r="D30" s="246"/>
      <c r="E30" s="246"/>
      <c r="F30" s="99"/>
      <c r="AA30" s="40"/>
      <c r="AB30" s="40"/>
      <c r="AC30" s="40"/>
      <c r="AD30" s="40"/>
      <c r="AE30" s="40"/>
      <c r="AF30" s="40"/>
      <c r="AG30" s="40"/>
      <c r="AH30" s="40"/>
      <c r="AI30" s="40"/>
      <c r="AJ30" s="40"/>
    </row>
    <row r="31" spans="1:57" ht="45" customHeight="1" x14ac:dyDescent="0.25">
      <c r="A31" s="159" t="s">
        <v>147</v>
      </c>
      <c r="B31" s="246" t="s">
        <v>148</v>
      </c>
      <c r="C31" s="246"/>
      <c r="D31" s="246"/>
      <c r="E31" s="246"/>
      <c r="F31" s="246"/>
      <c r="AA31" s="40"/>
      <c r="AB31" s="40"/>
      <c r="AC31" s="40"/>
      <c r="AD31" s="40"/>
      <c r="AE31" s="40"/>
      <c r="AF31" s="40"/>
      <c r="AG31" s="40"/>
      <c r="AH31" s="40"/>
      <c r="AI31" s="40"/>
      <c r="AJ31" s="40"/>
    </row>
    <row r="32" spans="1:57" x14ac:dyDescent="0.25"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</row>
    <row r="33" spans="1:57" x14ac:dyDescent="0.25">
      <c r="A33" s="100" t="s">
        <v>149</v>
      </c>
      <c r="B33" s="101" t="s">
        <v>150</v>
      </c>
      <c r="C33" s="52"/>
      <c r="AA33" s="40"/>
      <c r="AB33" s="40"/>
      <c r="AC33" s="40"/>
      <c r="AD33" s="40"/>
      <c r="AE33" s="40"/>
      <c r="AF33" s="40"/>
      <c r="AG33" s="40"/>
      <c r="AH33" s="40"/>
      <c r="AI33" s="40"/>
      <c r="AJ33" s="40"/>
    </row>
    <row r="34" spans="1:57" x14ac:dyDescent="0.25">
      <c r="A34" s="100" t="s">
        <v>151</v>
      </c>
      <c r="B34" s="101" t="s">
        <v>152</v>
      </c>
      <c r="C34" s="52"/>
    </row>
    <row r="35" spans="1:57" x14ac:dyDescent="0.25">
      <c r="A35" s="100" t="s">
        <v>153</v>
      </c>
      <c r="B35" s="101" t="s">
        <v>154</v>
      </c>
      <c r="C35" s="52"/>
    </row>
    <row r="36" spans="1:57" s="96" customFormat="1" ht="45" customHeight="1" x14ac:dyDescent="0.25">
      <c r="D36" s="244" t="s">
        <v>128</v>
      </c>
      <c r="E36" s="244"/>
      <c r="F36" s="95"/>
      <c r="G36" s="245" t="s">
        <v>3</v>
      </c>
      <c r="H36" s="245"/>
      <c r="I36" s="18"/>
      <c r="J36" s="245" t="s">
        <v>4</v>
      </c>
      <c r="K36" s="245"/>
      <c r="L36" s="18"/>
      <c r="M36" s="219" t="s">
        <v>5</v>
      </c>
      <c r="N36" s="219"/>
      <c r="O36" s="18"/>
      <c r="P36" s="219" t="s">
        <v>6</v>
      </c>
      <c r="Q36" s="219"/>
      <c r="R36" s="18"/>
      <c r="S36" s="219" t="s">
        <v>7</v>
      </c>
      <c r="T36" s="219"/>
      <c r="U36" s="18"/>
      <c r="V36" s="214" t="s">
        <v>8</v>
      </c>
      <c r="W36" s="214"/>
      <c r="X36" s="52"/>
      <c r="Y36" s="211" t="s">
        <v>9</v>
      </c>
      <c r="Z36" s="211"/>
      <c r="AA36" s="1"/>
      <c r="AB36" s="215" t="s">
        <v>10</v>
      </c>
      <c r="AC36" s="215"/>
      <c r="AD36" s="1"/>
      <c r="AE36" s="211" t="s">
        <v>11</v>
      </c>
      <c r="AF36" s="211"/>
      <c r="AG36" s="1"/>
      <c r="AH36" s="211" t="s">
        <v>12</v>
      </c>
      <c r="AI36" s="211"/>
      <c r="AJ36" s="1"/>
      <c r="AK36" s="211" t="s">
        <v>13</v>
      </c>
      <c r="AL36" s="211"/>
      <c r="AM36" s="1"/>
      <c r="AN36" s="211" t="s">
        <v>14</v>
      </c>
      <c r="AO36" s="211"/>
      <c r="AP36" s="1"/>
      <c r="AQ36" s="212" t="s">
        <v>15</v>
      </c>
      <c r="AR36" s="212"/>
      <c r="AS36" s="1"/>
      <c r="AT36" s="211" t="s">
        <v>16</v>
      </c>
      <c r="AU36" s="211"/>
      <c r="AV36" s="1"/>
      <c r="AW36" s="213" t="s">
        <v>17</v>
      </c>
      <c r="AX36" s="213"/>
      <c r="AY36" s="1"/>
      <c r="AZ36" s="213" t="s">
        <v>18</v>
      </c>
      <c r="BA36" s="213"/>
      <c r="BB36" s="1"/>
      <c r="BC36" s="213" t="s">
        <v>129</v>
      </c>
      <c r="BD36" s="213"/>
      <c r="BE36" s="1"/>
    </row>
    <row r="37" spans="1:57" s="96" customFormat="1" ht="108.6" customHeight="1" x14ac:dyDescent="0.25">
      <c r="D37" s="195" t="s">
        <v>130</v>
      </c>
      <c r="E37" s="147" t="s">
        <v>131</v>
      </c>
      <c r="F37" s="35"/>
      <c r="G37" s="151" t="s">
        <v>130</v>
      </c>
      <c r="H37" s="152" t="s">
        <v>131</v>
      </c>
      <c r="I37" s="52"/>
      <c r="J37" s="151" t="s">
        <v>130</v>
      </c>
      <c r="K37" s="152" t="s">
        <v>131</v>
      </c>
      <c r="L37" s="52"/>
      <c r="M37" s="132" t="s">
        <v>130</v>
      </c>
      <c r="N37" s="133" t="s">
        <v>131</v>
      </c>
      <c r="O37" s="52"/>
      <c r="P37" s="132" t="s">
        <v>130</v>
      </c>
      <c r="Q37" s="133" t="s">
        <v>131</v>
      </c>
      <c r="R37" s="52"/>
      <c r="S37" s="132" t="s">
        <v>130</v>
      </c>
      <c r="T37" s="133" t="s">
        <v>131</v>
      </c>
      <c r="U37" s="52"/>
      <c r="V37" s="96" t="s">
        <v>130</v>
      </c>
      <c r="W37" s="95" t="s">
        <v>131</v>
      </c>
      <c r="X37" s="52"/>
      <c r="Y37" s="96" t="s">
        <v>130</v>
      </c>
      <c r="Z37" s="95" t="s">
        <v>131</v>
      </c>
      <c r="AA37" s="52"/>
      <c r="AB37" s="96" t="s">
        <v>130</v>
      </c>
      <c r="AC37" s="95" t="s">
        <v>131</v>
      </c>
      <c r="AD37" s="52"/>
      <c r="AE37" s="96" t="s">
        <v>130</v>
      </c>
      <c r="AF37" s="95" t="s">
        <v>131</v>
      </c>
      <c r="AG37" s="34"/>
      <c r="AH37" s="96" t="s">
        <v>130</v>
      </c>
      <c r="AI37" s="95" t="s">
        <v>131</v>
      </c>
      <c r="AJ37" s="52"/>
      <c r="AK37" s="128" t="s">
        <v>130</v>
      </c>
      <c r="AL37" s="129" t="s">
        <v>131</v>
      </c>
      <c r="AM37" s="52"/>
      <c r="AN37" s="96" t="s">
        <v>130</v>
      </c>
      <c r="AO37" s="95" t="s">
        <v>131</v>
      </c>
      <c r="AP37" s="52"/>
      <c r="AQ37" s="196" t="s">
        <v>130</v>
      </c>
      <c r="AR37" s="142" t="s">
        <v>131</v>
      </c>
      <c r="AS37" s="52"/>
      <c r="AT37" s="197" t="s">
        <v>130</v>
      </c>
      <c r="AU37" s="129" t="s">
        <v>131</v>
      </c>
      <c r="AV37" s="52"/>
      <c r="AW37" s="96" t="s">
        <v>130</v>
      </c>
      <c r="AX37" s="95" t="s">
        <v>131</v>
      </c>
      <c r="AY37" s="52"/>
      <c r="AZ37" s="96" t="s">
        <v>130</v>
      </c>
      <c r="BA37" s="95" t="s">
        <v>131</v>
      </c>
      <c r="BB37" s="52"/>
      <c r="BC37" s="139" t="s">
        <v>130</v>
      </c>
      <c r="BD37" s="95" t="s">
        <v>131</v>
      </c>
      <c r="BE37" s="1"/>
    </row>
    <row r="38" spans="1:57" ht="47.45" customHeight="1" x14ac:dyDescent="0.25">
      <c r="B38" s="45"/>
      <c r="D38" s="149"/>
      <c r="E38" s="149"/>
      <c r="F38" s="81"/>
      <c r="G38" s="153"/>
      <c r="H38" s="153"/>
      <c r="J38" s="155"/>
      <c r="K38" s="155"/>
      <c r="L38" s="41"/>
      <c r="M38" s="161"/>
      <c r="N38" s="161"/>
      <c r="P38" s="134"/>
      <c r="Q38" s="134"/>
      <c r="S38" s="141"/>
      <c r="T38" s="141"/>
      <c r="V38" s="41"/>
      <c r="W38" s="41"/>
      <c r="Y38" s="41"/>
      <c r="Z38" s="41"/>
      <c r="AB38" s="182"/>
      <c r="AC38" s="182"/>
      <c r="AE38" s="40"/>
      <c r="AF38" s="40"/>
      <c r="AH38" s="40"/>
      <c r="AI38" s="40"/>
      <c r="AK38" s="130"/>
      <c r="AL38" s="130"/>
      <c r="AM38" s="40"/>
      <c r="AN38" s="40"/>
      <c r="AO38" s="40"/>
      <c r="AP38" s="40"/>
      <c r="AQ38" s="144"/>
      <c r="AR38" s="144"/>
      <c r="AS38" s="40"/>
      <c r="AT38" s="146"/>
      <c r="AU38" s="146"/>
      <c r="AV38" s="40"/>
      <c r="AW38" s="76"/>
      <c r="AX38" s="76"/>
      <c r="AY38" s="42"/>
      <c r="AZ38" s="42"/>
      <c r="BA38" s="42"/>
      <c r="BB38" s="42"/>
      <c r="BC38" s="76"/>
      <c r="BD38" s="76"/>
      <c r="BE38" s="42"/>
    </row>
    <row r="39" spans="1:57" ht="39.950000000000003" customHeight="1" x14ac:dyDescent="0.25">
      <c r="A39" s="247" t="s">
        <v>63</v>
      </c>
      <c r="B39" s="247"/>
      <c r="C39" s="247"/>
      <c r="D39" s="162">
        <v>15</v>
      </c>
      <c r="E39" s="162">
        <v>15</v>
      </c>
      <c r="F39" s="81"/>
      <c r="G39" s="153">
        <f>D39*SUM(1+$G$1/$Y$1)</f>
        <v>18</v>
      </c>
      <c r="H39" s="153">
        <f>E39*SUM(1+$G$1/$Y$1)</f>
        <v>18</v>
      </c>
      <c r="J39" s="155">
        <f t="shared" ref="J39:K39" si="54">G39-D39</f>
        <v>3</v>
      </c>
      <c r="K39" s="155">
        <f t="shared" si="54"/>
        <v>3</v>
      </c>
      <c r="L39" s="41"/>
      <c r="M39" s="161">
        <f t="shared" ref="M39:N39" si="55">ROUND(D39*(1+$G$1*2),2)*SUM(1+$M$1)</f>
        <v>19.8</v>
      </c>
      <c r="N39" s="161">
        <f t="shared" si="55"/>
        <v>19.8</v>
      </c>
      <c r="P39" s="134">
        <f t="shared" ref="P39:Q39" si="56">M39-D39</f>
        <v>4.8000000000000007</v>
      </c>
      <c r="Q39" s="134">
        <f t="shared" si="56"/>
        <v>4.8000000000000007</v>
      </c>
      <c r="S39" s="141">
        <f>AK39/G39</f>
        <v>0.1</v>
      </c>
      <c r="T39" s="141">
        <f>AL39/H39</f>
        <v>0.1</v>
      </c>
      <c r="V39" s="41">
        <f>SUM(D39/(1-$Y$1))</f>
        <v>30</v>
      </c>
      <c r="W39" s="41">
        <f>SUM(E39/(1-$Y$1))</f>
        <v>30</v>
      </c>
      <c r="Y39" s="41">
        <f t="shared" ref="Y39:Z39" si="57">ROUND(D39/(1-$Y$1)*1.2,2)</f>
        <v>36</v>
      </c>
      <c r="Z39" s="41">
        <f t="shared" si="57"/>
        <v>36</v>
      </c>
      <c r="AB39" s="182">
        <f t="shared" ref="AB39:AC39" si="58">ROUNDDOWN(D39/(1-$Y$1)*1.2,1)</f>
        <v>36</v>
      </c>
      <c r="AC39" s="182">
        <f t="shared" si="58"/>
        <v>36</v>
      </c>
      <c r="AE39" s="40">
        <f t="shared" ref="AE39:AF39" si="59">AB39/1.2</f>
        <v>30</v>
      </c>
      <c r="AF39" s="40">
        <f t="shared" si="59"/>
        <v>30</v>
      </c>
      <c r="AH39" s="40">
        <f t="shared" ref="AH39:AI39" si="60">Y39-AB39</f>
        <v>0</v>
      </c>
      <c r="AI39" s="40">
        <f t="shared" si="60"/>
        <v>0</v>
      </c>
      <c r="AK39" s="130">
        <f t="shared" ref="AK39" si="61">ROUND(M39*(1-(1/(1+$AL$1))),2)</f>
        <v>1.8</v>
      </c>
      <c r="AL39" s="130">
        <f>ROUND(N39*(1-(1/(1+$AL$1))),2)</f>
        <v>1.8</v>
      </c>
      <c r="AM39" s="40"/>
      <c r="AN39" s="40">
        <f t="shared" ref="AN39" si="62">SUM(V39-G39)-AH39</f>
        <v>12</v>
      </c>
      <c r="AO39" s="40">
        <f t="shared" ref="AO39" si="63">SUM(W39-H39)-AI39</f>
        <v>12</v>
      </c>
      <c r="AP39" s="40"/>
      <c r="AQ39" s="144">
        <f>(SUM(G39-D39)/D39*$Y$1)</f>
        <v>0.1</v>
      </c>
      <c r="AR39" s="144">
        <f>(SUM(H39-E39)/E39*$Y$1)</f>
        <v>0.1</v>
      </c>
      <c r="AS39" s="40"/>
      <c r="AT39" s="146">
        <f>AN39/V39</f>
        <v>0.4</v>
      </c>
      <c r="AU39" s="146">
        <f>AO39/W39</f>
        <v>0.4</v>
      </c>
      <c r="AV39" s="40"/>
      <c r="AW39" s="76">
        <f>D39/V39</f>
        <v>0.5</v>
      </c>
      <c r="AX39" s="76">
        <f>E39/W39</f>
        <v>0.5</v>
      </c>
      <c r="AY39" s="42"/>
      <c r="AZ39" s="42">
        <f>J39+AN39</f>
        <v>15</v>
      </c>
      <c r="BA39" s="42">
        <f>K39+AO39</f>
        <v>15</v>
      </c>
      <c r="BB39" s="42"/>
      <c r="BC39" s="76">
        <f>AZ39/(D39/$Y$1)</f>
        <v>0.5</v>
      </c>
      <c r="BD39" s="76">
        <f>BA39/(E39/$Y$1)</f>
        <v>0.5</v>
      </c>
      <c r="BE39" s="42"/>
    </row>
    <row r="40" spans="1:57" x14ac:dyDescent="0.25">
      <c r="A40" s="52"/>
      <c r="B40" s="52"/>
      <c r="C40" s="98"/>
      <c r="D40" s="52"/>
      <c r="E40" s="52"/>
      <c r="F40" s="40"/>
    </row>
    <row r="41" spans="1:57" x14ac:dyDescent="0.25">
      <c r="A41" s="45" t="s">
        <v>64</v>
      </c>
      <c r="B41" s="45" t="s">
        <v>65</v>
      </c>
      <c r="C41" s="45" t="s">
        <v>66</v>
      </c>
    </row>
    <row r="42" spans="1:57" s="122" customFormat="1" ht="30" customHeight="1" x14ac:dyDescent="0.25">
      <c r="A42" s="120"/>
      <c r="B42" s="121" t="s">
        <v>67</v>
      </c>
      <c r="C42" s="248" t="s">
        <v>68</v>
      </c>
      <c r="D42" s="248"/>
      <c r="E42" s="248"/>
      <c r="F42" s="248"/>
      <c r="G42" s="248"/>
      <c r="H42" s="248"/>
      <c r="I42" s="248"/>
      <c r="J42" s="248"/>
      <c r="K42" s="248"/>
      <c r="L42" s="248"/>
      <c r="M42" s="248"/>
    </row>
    <row r="43" spans="1:57" s="122" customFormat="1" ht="30" customHeight="1" x14ac:dyDescent="0.25">
      <c r="A43" s="120"/>
      <c r="B43" s="121"/>
      <c r="C43" s="248"/>
      <c r="D43" s="248"/>
      <c r="E43" s="248"/>
      <c r="F43" s="248"/>
      <c r="G43" s="248"/>
      <c r="H43" s="248"/>
      <c r="I43" s="248"/>
      <c r="J43" s="248"/>
      <c r="K43" s="248"/>
      <c r="L43" s="248"/>
      <c r="M43" s="248"/>
    </row>
    <row r="44" spans="1:57" x14ac:dyDescent="0.25">
      <c r="B44" s="45" t="s">
        <v>69</v>
      </c>
      <c r="C44" s="45" t="s">
        <v>70</v>
      </c>
      <c r="G44" s="40"/>
    </row>
    <row r="45" spans="1:57" x14ac:dyDescent="0.25">
      <c r="B45" s="45" t="s">
        <v>71</v>
      </c>
      <c r="C45" s="45" t="s">
        <v>72</v>
      </c>
      <c r="G45" s="40"/>
    </row>
    <row r="46" spans="1:57" x14ac:dyDescent="0.25">
      <c r="A46" s="52"/>
      <c r="B46" s="52"/>
      <c r="C46" s="98"/>
      <c r="D46" s="52"/>
      <c r="E46" s="52"/>
      <c r="F46" s="40"/>
    </row>
    <row r="47" spans="1:57" x14ac:dyDescent="0.25">
      <c r="A47" s="46" t="s">
        <v>73</v>
      </c>
      <c r="B47" s="1" t="s">
        <v>74</v>
      </c>
      <c r="C47" s="46" t="s">
        <v>75</v>
      </c>
      <c r="D47" s="25"/>
      <c r="F47" s="47"/>
    </row>
    <row r="48" spans="1:57" x14ac:dyDescent="0.25">
      <c r="A48" s="25"/>
      <c r="B48" s="1" t="s">
        <v>76</v>
      </c>
      <c r="C48" s="47" t="s">
        <v>77</v>
      </c>
      <c r="D48" s="25"/>
      <c r="F48" s="47"/>
    </row>
    <row r="49" spans="1:12" x14ac:dyDescent="0.25">
      <c r="A49" s="25"/>
      <c r="B49" s="1" t="s">
        <v>78</v>
      </c>
      <c r="C49" s="47" t="s">
        <v>79</v>
      </c>
      <c r="D49" s="25"/>
      <c r="F49" s="47"/>
    </row>
    <row r="50" spans="1:12" x14ac:dyDescent="0.25">
      <c r="A50" s="25"/>
      <c r="B50" s="1" t="s">
        <v>80</v>
      </c>
      <c r="C50" s="47" t="s">
        <v>81</v>
      </c>
      <c r="D50" s="25"/>
      <c r="F50" s="47"/>
    </row>
    <row r="51" spans="1:12" x14ac:dyDescent="0.25">
      <c r="F51" s="52"/>
      <c r="G51" s="52"/>
      <c r="H51" s="52"/>
      <c r="I51" s="52"/>
      <c r="J51" s="52"/>
      <c r="K51" s="52"/>
      <c r="L51" s="52"/>
    </row>
    <row r="52" spans="1:12" x14ac:dyDescent="0.25">
      <c r="A52" s="1" t="s">
        <v>82</v>
      </c>
      <c r="C52" s="1" t="s">
        <v>83</v>
      </c>
      <c r="F52" s="99"/>
      <c r="G52" s="99"/>
      <c r="H52" s="99"/>
      <c r="I52" s="99"/>
      <c r="J52" s="99"/>
      <c r="K52" s="99"/>
      <c r="L52" s="99"/>
    </row>
    <row r="53" spans="1:12" x14ac:dyDescent="0.25">
      <c r="A53" s="99"/>
      <c r="F53" s="99"/>
      <c r="G53" s="99"/>
      <c r="H53" s="99"/>
      <c r="I53" s="99"/>
      <c r="J53" s="99"/>
      <c r="K53" s="99"/>
      <c r="L53" s="99"/>
    </row>
    <row r="54" spans="1:12" x14ac:dyDescent="0.25">
      <c r="A54" s="52" t="s">
        <v>84</v>
      </c>
      <c r="B54" s="52"/>
      <c r="C54" s="52"/>
      <c r="D54" s="52"/>
      <c r="E54" s="52"/>
      <c r="F54" s="99"/>
      <c r="G54" s="99"/>
      <c r="H54" s="99"/>
      <c r="I54" s="99"/>
      <c r="J54" s="99"/>
      <c r="K54" s="99"/>
      <c r="L54" s="99"/>
    </row>
    <row r="57" spans="1:12" x14ac:dyDescent="0.25">
      <c r="A57" s="166" t="s">
        <v>85</v>
      </c>
      <c r="B57" s="191">
        <v>1.8</v>
      </c>
      <c r="C57" s="192" t="s">
        <v>156</v>
      </c>
    </row>
    <row r="58" spans="1:12" x14ac:dyDescent="0.25">
      <c r="A58" s="166"/>
      <c r="B58" s="191">
        <v>3.6</v>
      </c>
      <c r="C58" s="192" t="s">
        <v>157</v>
      </c>
    </row>
  </sheetData>
  <mergeCells count="40">
    <mergeCell ref="D2:E2"/>
    <mergeCell ref="G2:H2"/>
    <mergeCell ref="J2:K2"/>
    <mergeCell ref="M2:N2"/>
    <mergeCell ref="P2:Q2"/>
    <mergeCell ref="AZ2:BA2"/>
    <mergeCell ref="BC2:BD2"/>
    <mergeCell ref="V2:W2"/>
    <mergeCell ref="Y2:Z2"/>
    <mergeCell ref="AB2:AC2"/>
    <mergeCell ref="AE2:AF2"/>
    <mergeCell ref="AH2:AI2"/>
    <mergeCell ref="AK2:AL2"/>
    <mergeCell ref="M36:N36"/>
    <mergeCell ref="AN2:AO2"/>
    <mergeCell ref="AQ2:AR2"/>
    <mergeCell ref="AT2:AU2"/>
    <mergeCell ref="AW2:AX2"/>
    <mergeCell ref="S2:T2"/>
    <mergeCell ref="B30:E30"/>
    <mergeCell ref="B31:F31"/>
    <mergeCell ref="D36:E36"/>
    <mergeCell ref="G36:H36"/>
    <mergeCell ref="J36:K36"/>
    <mergeCell ref="AZ36:BA36"/>
    <mergeCell ref="BC36:BD36"/>
    <mergeCell ref="A39:C39"/>
    <mergeCell ref="C42:M43"/>
    <mergeCell ref="AH36:AI36"/>
    <mergeCell ref="AK36:AL36"/>
    <mergeCell ref="AN36:AO36"/>
    <mergeCell ref="AQ36:AR36"/>
    <mergeCell ref="AT36:AU36"/>
    <mergeCell ref="AW36:AX36"/>
    <mergeCell ref="P36:Q36"/>
    <mergeCell ref="S36:T36"/>
    <mergeCell ref="V36:W36"/>
    <mergeCell ref="Y36:Z36"/>
    <mergeCell ref="AB36:AC36"/>
    <mergeCell ref="AE36:AF36"/>
  </mergeCells>
  <pageMargins left="0.7" right="0.7" top="0.75" bottom="0.75" header="0.3" footer="0.3"/>
  <pageSetup paperSize="9" orientation="portrait" horizontalDpi="4294967295" verticalDpi="4294967295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C727C-A4C6-4B2D-80D5-65429B84783B}">
  <dimension ref="C2:G38"/>
  <sheetViews>
    <sheetView workbookViewId="0">
      <selection activeCell="K18" sqref="K18"/>
    </sheetView>
  </sheetViews>
  <sheetFormatPr defaultRowHeight="15" x14ac:dyDescent="0.25"/>
  <cols>
    <col min="3" max="3" width="36.140625" bestFit="1" customWidth="1"/>
    <col min="4" max="5" width="10.7109375" customWidth="1"/>
  </cols>
  <sheetData>
    <row r="2" spans="3:7" x14ac:dyDescent="0.25">
      <c r="C2" s="173" t="s">
        <v>158</v>
      </c>
    </row>
    <row r="4" spans="3:7" x14ac:dyDescent="0.25">
      <c r="D4" s="186" t="s">
        <v>20</v>
      </c>
      <c r="E4" s="186" t="s">
        <v>21</v>
      </c>
      <c r="G4" s="186" t="s">
        <v>159</v>
      </c>
    </row>
    <row r="5" spans="3:7" x14ac:dyDescent="0.25">
      <c r="C5" t="s">
        <v>22</v>
      </c>
      <c r="D5" s="187"/>
      <c r="E5" s="187"/>
    </row>
    <row r="6" spans="3:7" x14ac:dyDescent="0.25">
      <c r="C6" t="s">
        <v>23</v>
      </c>
      <c r="D6" s="187">
        <v>9.19</v>
      </c>
      <c r="E6" s="187">
        <v>14.05</v>
      </c>
      <c r="F6" s="188">
        <f>E6/D6-1</f>
        <v>0.52883569096844418</v>
      </c>
      <c r="G6" s="188"/>
    </row>
    <row r="7" spans="3:7" x14ac:dyDescent="0.25">
      <c r="C7" t="s">
        <v>24</v>
      </c>
      <c r="D7" s="187">
        <v>9.65</v>
      </c>
      <c r="E7" s="187">
        <v>14.76</v>
      </c>
      <c r="F7" s="188">
        <f t="shared" ref="F7:F10" si="0">E7/D7-1</f>
        <v>0.52953367875647661</v>
      </c>
    </row>
    <row r="8" spans="3:7" x14ac:dyDescent="0.25">
      <c r="C8" t="s">
        <v>25</v>
      </c>
      <c r="D8" s="187">
        <v>10.65</v>
      </c>
      <c r="E8" s="187">
        <v>16.3</v>
      </c>
      <c r="F8" s="188">
        <f t="shared" si="0"/>
        <v>0.53051643192488274</v>
      </c>
    </row>
    <row r="9" spans="3:7" x14ac:dyDescent="0.25">
      <c r="C9" t="s">
        <v>26</v>
      </c>
      <c r="D9" s="187">
        <v>11.75</v>
      </c>
      <c r="E9" s="187">
        <v>17.95</v>
      </c>
      <c r="F9" s="188">
        <f t="shared" si="0"/>
        <v>0.52765957446808498</v>
      </c>
    </row>
    <row r="10" spans="3:7" x14ac:dyDescent="0.25">
      <c r="C10" t="s">
        <v>27</v>
      </c>
      <c r="D10" s="187">
        <v>11.77</v>
      </c>
      <c r="E10" s="187">
        <v>17.96</v>
      </c>
      <c r="F10" s="188">
        <f t="shared" si="0"/>
        <v>0.5259133389974513</v>
      </c>
    </row>
    <row r="11" spans="3:7" x14ac:dyDescent="0.25">
      <c r="D11" s="187"/>
      <c r="E11" s="187"/>
    </row>
    <row r="12" spans="3:7" x14ac:dyDescent="0.25">
      <c r="C12" t="s">
        <v>28</v>
      </c>
      <c r="D12" s="187"/>
      <c r="E12" s="187"/>
    </row>
    <row r="13" spans="3:7" x14ac:dyDescent="0.25">
      <c r="C13" t="s">
        <v>23</v>
      </c>
      <c r="D13" s="187">
        <v>11.61</v>
      </c>
      <c r="E13" s="187">
        <v>19.13</v>
      </c>
      <c r="F13" s="188">
        <f t="shared" ref="F13:F18" si="1">E13/D13-1</f>
        <v>0.64771748492678727</v>
      </c>
    </row>
    <row r="14" spans="3:7" x14ac:dyDescent="0.25">
      <c r="C14" t="s">
        <v>24</v>
      </c>
      <c r="D14" s="187">
        <v>14.94</v>
      </c>
      <c r="E14" s="187">
        <v>22.89</v>
      </c>
      <c r="F14" s="188">
        <f t="shared" si="1"/>
        <v>0.53212851405622508</v>
      </c>
    </row>
    <row r="15" spans="3:7" x14ac:dyDescent="0.25">
      <c r="C15" t="s">
        <v>25</v>
      </c>
      <c r="D15" s="187">
        <v>17.59</v>
      </c>
      <c r="E15" s="187">
        <v>25.67</v>
      </c>
      <c r="F15" s="188">
        <f t="shared" si="1"/>
        <v>0.45935190449118823</v>
      </c>
    </row>
    <row r="16" spans="3:7" x14ac:dyDescent="0.25">
      <c r="C16" t="s">
        <v>26</v>
      </c>
      <c r="D16" s="187">
        <v>23.23</v>
      </c>
      <c r="E16" s="187">
        <v>32.76</v>
      </c>
      <c r="F16" s="188">
        <f t="shared" si="1"/>
        <v>0.41024537236332326</v>
      </c>
    </row>
    <row r="17" spans="3:7" x14ac:dyDescent="0.25">
      <c r="C17" t="s">
        <v>27</v>
      </c>
      <c r="D17" s="187">
        <v>27.41</v>
      </c>
      <c r="E17" s="187">
        <v>38.380000000000003</v>
      </c>
      <c r="F17" s="188">
        <f t="shared" si="1"/>
        <v>0.40021889821233136</v>
      </c>
    </row>
    <row r="18" spans="3:7" x14ac:dyDescent="0.25">
      <c r="C18" t="s">
        <v>29</v>
      </c>
      <c r="D18" s="187">
        <v>3.65</v>
      </c>
      <c r="E18" s="187">
        <v>4.96</v>
      </c>
      <c r="F18" s="188">
        <f t="shared" si="1"/>
        <v>0.35890410958904106</v>
      </c>
    </row>
    <row r="19" spans="3:7" x14ac:dyDescent="0.25">
      <c r="D19" s="187"/>
      <c r="E19" s="187"/>
      <c r="G19" s="189">
        <f>AVERAGE(F6:F10,F13:F17)</f>
        <v>0.50921208891651948</v>
      </c>
    </row>
    <row r="20" spans="3:7" x14ac:dyDescent="0.25">
      <c r="C20" t="s">
        <v>30</v>
      </c>
      <c r="D20" s="187"/>
      <c r="E20" s="187"/>
    </row>
    <row r="21" spans="3:7" x14ac:dyDescent="0.25">
      <c r="C21" t="s">
        <v>31</v>
      </c>
      <c r="D21" s="187">
        <v>24.45</v>
      </c>
      <c r="E21" s="187">
        <v>30.32</v>
      </c>
      <c r="F21" s="188">
        <f t="shared" ref="F21:F26" si="2">E21/D21-1</f>
        <v>0.24008179959100207</v>
      </c>
    </row>
    <row r="22" spans="3:7" x14ac:dyDescent="0.25">
      <c r="C22" t="s">
        <v>24</v>
      </c>
      <c r="D22" s="187">
        <v>29.44</v>
      </c>
      <c r="E22" s="187">
        <v>33.78</v>
      </c>
      <c r="F22" s="188">
        <f t="shared" si="2"/>
        <v>0.14741847826086962</v>
      </c>
    </row>
    <row r="23" spans="3:7" x14ac:dyDescent="0.25">
      <c r="C23" t="s">
        <v>25</v>
      </c>
      <c r="D23" s="187">
        <v>35.93</v>
      </c>
      <c r="E23" s="187">
        <v>41.53</v>
      </c>
      <c r="F23" s="188">
        <f t="shared" si="2"/>
        <v>0.1558586139716116</v>
      </c>
    </row>
    <row r="24" spans="3:7" x14ac:dyDescent="0.25">
      <c r="C24" t="s">
        <v>26</v>
      </c>
      <c r="D24" s="187">
        <v>44.38</v>
      </c>
      <c r="E24" s="187">
        <v>51.23</v>
      </c>
      <c r="F24" s="188">
        <f t="shared" si="2"/>
        <v>0.15434880576836396</v>
      </c>
    </row>
    <row r="25" spans="3:7" x14ac:dyDescent="0.25">
      <c r="C25" t="s">
        <v>27</v>
      </c>
      <c r="D25" s="187">
        <v>49.87</v>
      </c>
      <c r="E25" s="187">
        <v>56.55</v>
      </c>
      <c r="F25" s="188">
        <f t="shared" si="2"/>
        <v>0.13394826549027461</v>
      </c>
    </row>
    <row r="26" spans="3:7" x14ac:dyDescent="0.25">
      <c r="C26" t="s">
        <v>29</v>
      </c>
      <c r="D26" s="187">
        <v>7.05</v>
      </c>
      <c r="E26" s="187">
        <v>7.71</v>
      </c>
      <c r="F26" s="188">
        <f t="shared" si="2"/>
        <v>9.3617021276595658E-2</v>
      </c>
    </row>
    <row r="27" spans="3:7" x14ac:dyDescent="0.25">
      <c r="D27" s="187"/>
      <c r="E27" s="187"/>
    </row>
    <row r="28" spans="3:7" x14ac:dyDescent="0.25">
      <c r="C28" t="s">
        <v>32</v>
      </c>
      <c r="D28" s="187"/>
      <c r="E28" s="187"/>
    </row>
    <row r="29" spans="3:7" x14ac:dyDescent="0.25">
      <c r="C29" t="s">
        <v>23</v>
      </c>
      <c r="D29" s="187">
        <v>28.14</v>
      </c>
      <c r="E29" s="187">
        <v>33.520000000000003</v>
      </c>
      <c r="F29" s="188">
        <f t="shared" ref="F29:F34" si="3">E29/D29-1</f>
        <v>0.1911869225302063</v>
      </c>
    </row>
    <row r="30" spans="3:7" x14ac:dyDescent="0.25">
      <c r="C30" t="s">
        <v>24</v>
      </c>
      <c r="D30" s="187">
        <v>34.049999999999997</v>
      </c>
      <c r="E30" s="187">
        <v>40.32</v>
      </c>
      <c r="F30" s="188">
        <f t="shared" si="3"/>
        <v>0.1841409691629956</v>
      </c>
    </row>
    <row r="31" spans="3:7" x14ac:dyDescent="0.25">
      <c r="C31" t="s">
        <v>25</v>
      </c>
      <c r="D31" s="187">
        <v>42.02</v>
      </c>
      <c r="E31" s="187">
        <v>46.7</v>
      </c>
      <c r="F31" s="188">
        <f t="shared" si="3"/>
        <v>0.11137553545930512</v>
      </c>
    </row>
    <row r="32" spans="3:7" x14ac:dyDescent="0.25">
      <c r="C32" t="s">
        <v>33</v>
      </c>
      <c r="D32" s="187">
        <v>52.66</v>
      </c>
      <c r="E32" s="187">
        <v>60.54</v>
      </c>
      <c r="F32" s="188">
        <f t="shared" si="3"/>
        <v>0.14963919483478927</v>
      </c>
    </row>
    <row r="33" spans="3:7" x14ac:dyDescent="0.25">
      <c r="C33" t="s">
        <v>27</v>
      </c>
      <c r="D33" s="187">
        <v>58.08</v>
      </c>
      <c r="E33" s="187">
        <v>65.53</v>
      </c>
      <c r="F33" s="188">
        <f t="shared" si="3"/>
        <v>0.12827134986225897</v>
      </c>
    </row>
    <row r="34" spans="3:7" x14ac:dyDescent="0.25">
      <c r="C34" t="s">
        <v>29</v>
      </c>
      <c r="D34" s="187">
        <v>9.51</v>
      </c>
      <c r="E34" s="187">
        <v>10.3</v>
      </c>
      <c r="F34" s="188">
        <f t="shared" si="3"/>
        <v>8.3070452155625807E-2</v>
      </c>
    </row>
    <row r="35" spans="3:7" x14ac:dyDescent="0.25">
      <c r="G35" s="189">
        <f>AVERAGE(F21:F25,F29:F33)</f>
        <v>0.15962699349316772</v>
      </c>
    </row>
    <row r="38" spans="3:7" x14ac:dyDescent="0.25">
      <c r="F38" s="189">
        <f>AVERAGE(F6:F10,F13:F17,F21:F25,F29:F33)</f>
        <v>0.33441954120484357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1CA2A-9A2D-412C-AB27-829A2AC3CFFA}">
  <sheetPr>
    <tabColor theme="3" tint="-0.249977111117893"/>
  </sheetPr>
  <dimension ref="A1:BE55"/>
  <sheetViews>
    <sheetView zoomScale="85" zoomScaleNormal="8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E6" sqref="E6"/>
    </sheetView>
  </sheetViews>
  <sheetFormatPr defaultColWidth="8.85546875" defaultRowHeight="15" x14ac:dyDescent="0.25"/>
  <cols>
    <col min="1" max="1" width="27" style="1" customWidth="1"/>
    <col min="2" max="2" width="8.85546875" style="1" customWidth="1"/>
    <col min="3" max="3" width="32.140625" style="1" customWidth="1"/>
    <col min="4" max="5" width="10" style="1" customWidth="1"/>
    <col min="6" max="6" width="3.7109375" style="1" customWidth="1"/>
    <col min="7" max="8" width="9.7109375" style="1" customWidth="1"/>
    <col min="9" max="9" width="3.7109375" style="1" customWidth="1"/>
    <col min="10" max="11" width="9.7109375" style="1" customWidth="1"/>
    <col min="12" max="12" width="3.7109375" style="1" customWidth="1"/>
    <col min="13" max="13" width="13" style="1" customWidth="1"/>
    <col min="14" max="14" width="11.85546875" style="1" bestFit="1" customWidth="1"/>
    <col min="15" max="15" width="3.7109375" style="1" customWidth="1"/>
    <col min="16" max="17" width="9.7109375" style="1" customWidth="1"/>
    <col min="18" max="18" width="3.7109375" style="1" customWidth="1"/>
    <col min="19" max="20" width="9.7109375" style="1" customWidth="1"/>
    <col min="21" max="21" width="5.140625" style="1" customWidth="1"/>
    <col min="22" max="22" width="12.42578125" style="1" customWidth="1"/>
    <col min="23" max="23" width="11.85546875" style="1" customWidth="1"/>
    <col min="24" max="24" width="6.140625" style="1" customWidth="1"/>
    <col min="25" max="25" width="12.42578125" style="1" customWidth="1"/>
    <col min="26" max="26" width="11.85546875" style="1" customWidth="1"/>
    <col min="27" max="27" width="3.7109375" style="1" customWidth="1"/>
    <col min="28" max="29" width="9.7109375" style="1" customWidth="1"/>
    <col min="30" max="30" width="3.7109375" style="1" customWidth="1"/>
    <col min="31" max="32" width="9.7109375" style="1" customWidth="1"/>
    <col min="33" max="33" width="3.7109375" style="1" customWidth="1"/>
    <col min="34" max="35" width="9.7109375" style="1" customWidth="1"/>
    <col min="36" max="36" width="3.7109375" style="1" customWidth="1"/>
    <col min="37" max="38" width="9.7109375" style="1" customWidth="1"/>
    <col min="39" max="39" width="3.7109375" style="1" customWidth="1"/>
    <col min="40" max="41" width="9.7109375" style="1" customWidth="1"/>
    <col min="42" max="42" width="3.7109375" style="1" customWidth="1"/>
    <col min="43" max="44" width="9.7109375" style="1" customWidth="1"/>
    <col min="45" max="45" width="3.7109375" style="1" customWidth="1"/>
    <col min="46" max="47" width="9.7109375" style="1" customWidth="1"/>
    <col min="48" max="48" width="3.7109375" style="1" customWidth="1"/>
    <col min="49" max="50" width="9.7109375" style="1" customWidth="1"/>
    <col min="51" max="51" width="3.7109375" style="1" customWidth="1"/>
    <col min="52" max="53" width="9.7109375" style="1" customWidth="1"/>
    <col min="54" max="54" width="3.7109375" style="1" customWidth="1"/>
    <col min="55" max="55" width="11.85546875" style="1" customWidth="1"/>
    <col min="56" max="56" width="10.42578125" style="1" customWidth="1"/>
    <col min="57" max="57" width="8.140625" style="1" customWidth="1"/>
    <col min="58" max="16384" width="8.85546875" style="1"/>
  </cols>
  <sheetData>
    <row r="1" spans="1:57" ht="15" customHeight="1" thickBot="1" x14ac:dyDescent="0.3">
      <c r="A1" s="184" t="s">
        <v>90</v>
      </c>
      <c r="C1" s="171" t="s">
        <v>0</v>
      </c>
      <c r="D1" s="185">
        <v>7.7499999999999999E-2</v>
      </c>
      <c r="E1" s="18"/>
      <c r="F1" s="18"/>
      <c r="G1" s="179">
        <v>9.1999999999999998E-2</v>
      </c>
      <c r="H1" s="170" t="s">
        <v>1</v>
      </c>
      <c r="I1" s="18"/>
      <c r="J1" s="18"/>
      <c r="K1" s="18"/>
      <c r="L1" s="18"/>
      <c r="M1" s="92">
        <v>0.1</v>
      </c>
      <c r="N1" s="18"/>
      <c r="O1" s="18"/>
      <c r="P1" s="18"/>
      <c r="Q1" s="18"/>
      <c r="R1" s="18"/>
      <c r="S1" s="18"/>
      <c r="T1" s="18"/>
      <c r="U1" s="18"/>
      <c r="V1" s="92"/>
      <c r="W1" s="18"/>
      <c r="X1" s="92"/>
      <c r="Y1" s="91">
        <v>0.5</v>
      </c>
      <c r="Z1" s="18"/>
      <c r="AL1" s="83">
        <v>0.1</v>
      </c>
    </row>
    <row r="2" spans="1:57" ht="48" customHeight="1" x14ac:dyDescent="0.25">
      <c r="A2" s="4"/>
      <c r="D2" s="244" t="s">
        <v>128</v>
      </c>
      <c r="E2" s="244"/>
      <c r="F2" s="95"/>
      <c r="G2" s="245" t="s">
        <v>3</v>
      </c>
      <c r="H2" s="245"/>
      <c r="I2" s="18"/>
      <c r="J2" s="245" t="s">
        <v>4</v>
      </c>
      <c r="K2" s="245"/>
      <c r="L2" s="18"/>
      <c r="M2" s="219" t="s">
        <v>5</v>
      </c>
      <c r="N2" s="219"/>
      <c r="O2" s="18"/>
      <c r="P2" s="219" t="s">
        <v>6</v>
      </c>
      <c r="Q2" s="219"/>
      <c r="R2" s="18"/>
      <c r="S2" s="219" t="s">
        <v>7</v>
      </c>
      <c r="T2" s="219"/>
      <c r="U2" s="18"/>
      <c r="V2" s="214" t="s">
        <v>8</v>
      </c>
      <c r="W2" s="214"/>
      <c r="X2" s="52"/>
      <c r="Y2" s="211" t="s">
        <v>9</v>
      </c>
      <c r="Z2" s="211"/>
      <c r="AB2" s="215" t="s">
        <v>10</v>
      </c>
      <c r="AC2" s="215"/>
      <c r="AE2" s="211" t="s">
        <v>11</v>
      </c>
      <c r="AF2" s="211"/>
      <c r="AH2" s="211" t="s">
        <v>12</v>
      </c>
      <c r="AI2" s="211"/>
      <c r="AK2" s="211" t="s">
        <v>13</v>
      </c>
      <c r="AL2" s="211"/>
      <c r="AN2" s="211" t="s">
        <v>14</v>
      </c>
      <c r="AO2" s="211"/>
      <c r="AQ2" s="212" t="s">
        <v>15</v>
      </c>
      <c r="AR2" s="212"/>
      <c r="AT2" s="211" t="s">
        <v>16</v>
      </c>
      <c r="AU2" s="211"/>
      <c r="AW2" s="213" t="s">
        <v>17</v>
      </c>
      <c r="AX2" s="213"/>
      <c r="AZ2" s="213" t="s">
        <v>18</v>
      </c>
      <c r="BA2" s="213"/>
      <c r="BC2" s="213" t="s">
        <v>129</v>
      </c>
      <c r="BD2" s="213"/>
    </row>
    <row r="3" spans="1:57" s="52" customFormat="1" ht="60" customHeight="1" x14ac:dyDescent="0.25">
      <c r="A3" s="97"/>
      <c r="D3" s="195" t="s">
        <v>130</v>
      </c>
      <c r="E3" s="147" t="s">
        <v>131</v>
      </c>
      <c r="F3" s="35"/>
      <c r="G3" s="151" t="s">
        <v>130</v>
      </c>
      <c r="H3" s="152" t="s">
        <v>131</v>
      </c>
      <c r="J3" s="151" t="s">
        <v>130</v>
      </c>
      <c r="K3" s="152" t="s">
        <v>131</v>
      </c>
      <c r="M3" s="132" t="s">
        <v>130</v>
      </c>
      <c r="N3" s="133" t="s">
        <v>131</v>
      </c>
      <c r="P3" s="132" t="s">
        <v>130</v>
      </c>
      <c r="Q3" s="133" t="s">
        <v>131</v>
      </c>
      <c r="S3" s="132" t="s">
        <v>130</v>
      </c>
      <c r="T3" s="133" t="s">
        <v>131</v>
      </c>
      <c r="V3" s="96" t="s">
        <v>130</v>
      </c>
      <c r="W3" s="95" t="s">
        <v>131</v>
      </c>
      <c r="Y3" s="96" t="s">
        <v>130</v>
      </c>
      <c r="Z3" s="95" t="s">
        <v>131</v>
      </c>
      <c r="AB3" s="96" t="s">
        <v>130</v>
      </c>
      <c r="AC3" s="95" t="s">
        <v>131</v>
      </c>
      <c r="AE3" s="96" t="s">
        <v>130</v>
      </c>
      <c r="AF3" s="95" t="s">
        <v>131</v>
      </c>
      <c r="AG3" s="34"/>
      <c r="AH3" s="96" t="s">
        <v>130</v>
      </c>
      <c r="AI3" s="95" t="s">
        <v>131</v>
      </c>
      <c r="AK3" s="128" t="s">
        <v>130</v>
      </c>
      <c r="AL3" s="129" t="s">
        <v>131</v>
      </c>
      <c r="AN3" s="96" t="s">
        <v>130</v>
      </c>
      <c r="AO3" s="95" t="s">
        <v>131</v>
      </c>
      <c r="AQ3" s="196" t="s">
        <v>130</v>
      </c>
      <c r="AR3" s="142" t="s">
        <v>131</v>
      </c>
      <c r="AT3" s="197" t="s">
        <v>130</v>
      </c>
      <c r="AU3" s="129" t="s">
        <v>131</v>
      </c>
      <c r="AW3" s="96" t="s">
        <v>130</v>
      </c>
      <c r="AX3" s="95" t="s">
        <v>131</v>
      </c>
      <c r="AZ3" s="96" t="s">
        <v>130</v>
      </c>
      <c r="BA3" s="95" t="s">
        <v>131</v>
      </c>
      <c r="BC3" s="139" t="s">
        <v>130</v>
      </c>
      <c r="BD3" s="95" t="s">
        <v>131</v>
      </c>
    </row>
    <row r="4" spans="1:57" x14ac:dyDescent="0.25">
      <c r="A4" s="167" t="s">
        <v>132</v>
      </c>
      <c r="B4" s="4"/>
      <c r="D4" s="137"/>
      <c r="E4" s="148"/>
      <c r="F4" s="39"/>
      <c r="G4" s="138"/>
      <c r="H4" s="138"/>
      <c r="J4" s="154"/>
      <c r="K4" s="154"/>
      <c r="M4" s="123"/>
      <c r="N4" s="123"/>
      <c r="P4" s="123"/>
      <c r="Q4" s="123"/>
      <c r="S4" s="140"/>
      <c r="T4" s="140"/>
      <c r="V4" s="75"/>
      <c r="AK4" s="131"/>
      <c r="AL4" s="131"/>
      <c r="AQ4" s="143"/>
      <c r="AR4" s="143"/>
      <c r="AT4" s="131"/>
      <c r="AU4" s="131"/>
    </row>
    <row r="5" spans="1:57" x14ac:dyDescent="0.25">
      <c r="A5" t="s">
        <v>133</v>
      </c>
      <c r="D5" s="162">
        <v>38.33</v>
      </c>
      <c r="E5" s="162">
        <v>53.28</v>
      </c>
      <c r="F5" s="81"/>
      <c r="G5" s="153">
        <f t="shared" ref="G5:H8" si="0">D5*SUM(1+$G$1/$Y$1)</f>
        <v>45.382719999999999</v>
      </c>
      <c r="H5" s="153">
        <f t="shared" si="0"/>
        <v>63.08352</v>
      </c>
      <c r="I5" s="83"/>
      <c r="J5" s="155">
        <f>G5-D5</f>
        <v>7.0527200000000008</v>
      </c>
      <c r="K5" s="155">
        <f>H5-E5</f>
        <v>9.8035199999999989</v>
      </c>
      <c r="L5" s="83"/>
      <c r="M5" s="134">
        <f>ROUND(D5*(1+$G$1*2),2)*SUM(1+$M$1)</f>
        <v>49.918000000000006</v>
      </c>
      <c r="N5" s="134">
        <f>ROUND(E5*(1+$G$1*2),2)*SUM(1+$M$1)</f>
        <v>69.388000000000005</v>
      </c>
      <c r="P5" s="134">
        <f>M5-D5</f>
        <v>11.588000000000008</v>
      </c>
      <c r="Q5" s="134">
        <f>N5-E5</f>
        <v>16.108000000000004</v>
      </c>
      <c r="S5" s="141">
        <f t="shared" ref="S5:T8" si="1">AK5/G5</f>
        <v>0.10003807616643516</v>
      </c>
      <c r="T5" s="141">
        <f t="shared" si="1"/>
        <v>0.10002612409707004</v>
      </c>
      <c r="V5" s="41">
        <f t="shared" ref="V5:W8" si="2">SUM(D5/(1-$Y$1))</f>
        <v>76.66</v>
      </c>
      <c r="W5" s="41">
        <f t="shared" si="2"/>
        <v>106.56</v>
      </c>
      <c r="X5" s="82"/>
      <c r="Y5" s="41">
        <f>ROUND(D5/(1-$Y$1)*1.2,2)</f>
        <v>91.99</v>
      </c>
      <c r="Z5" s="41">
        <f>ROUND(E5/(1-$Y$1)*1.2,2)</f>
        <v>127.87</v>
      </c>
      <c r="AB5" s="182">
        <f>ROUNDDOWN(D5/(1-$Y$1)*1.2,1)</f>
        <v>91.9</v>
      </c>
      <c r="AC5" s="182">
        <f>ROUNDDOWN(E5/(1-$Y$1)*1.2,1)</f>
        <v>127.8</v>
      </c>
      <c r="AE5" s="40">
        <f>AB5/1.2</f>
        <v>76.583333333333343</v>
      </c>
      <c r="AF5" s="40">
        <f>AC5/1.2</f>
        <v>106.5</v>
      </c>
      <c r="AH5" s="40">
        <f>Y5-AB5</f>
        <v>8.99999999999892E-2</v>
      </c>
      <c r="AI5" s="40">
        <f>Z5-AC5</f>
        <v>7.000000000000739E-2</v>
      </c>
      <c r="AK5" s="130">
        <f t="shared" ref="AK5:AL8" si="3">ROUND(M5*(1-(1/(1+$AL$1))),2)</f>
        <v>4.54</v>
      </c>
      <c r="AL5" s="130">
        <f t="shared" si="3"/>
        <v>6.31</v>
      </c>
      <c r="AM5" s="40"/>
      <c r="AN5" s="40">
        <f>SUM(V5-G5)-AH5</f>
        <v>31.187280000000008</v>
      </c>
      <c r="AO5" s="40">
        <f>SUM(W5-H5)-AI5</f>
        <v>43.406479999999995</v>
      </c>
      <c r="AP5" s="40"/>
      <c r="AQ5" s="144">
        <f t="shared" ref="AQ5:AR8" si="4">(SUM(G5-D5)/D5*$Y$1)</f>
        <v>9.2000000000000012E-2</v>
      </c>
      <c r="AR5" s="144">
        <f t="shared" si="4"/>
        <v>9.1999999999999985E-2</v>
      </c>
      <c r="AS5" s="40"/>
      <c r="AT5" s="146">
        <f t="shared" ref="AT5:AU8" si="5">AN5/V5</f>
        <v>0.40682598486824956</v>
      </c>
      <c r="AU5" s="146">
        <f t="shared" si="5"/>
        <v>0.40734309309309302</v>
      </c>
      <c r="AV5" s="40"/>
      <c r="AW5" s="76">
        <f t="shared" ref="AW5:AX8" si="6">D5/V5</f>
        <v>0.5</v>
      </c>
      <c r="AX5" s="76">
        <f t="shared" si="6"/>
        <v>0.5</v>
      </c>
      <c r="AY5" s="42"/>
      <c r="AZ5" s="42">
        <f t="shared" ref="AZ5:BA8" si="7">J5+AN5</f>
        <v>38.240000000000009</v>
      </c>
      <c r="BA5" s="42">
        <f t="shared" si="7"/>
        <v>53.209999999999994</v>
      </c>
      <c r="BB5" s="42"/>
      <c r="BC5" s="76">
        <f t="shared" ref="BC5:BD8" si="8">AZ5/(D5/$Y$1)</f>
        <v>0.49882598486824953</v>
      </c>
      <c r="BD5" s="76">
        <f t="shared" si="8"/>
        <v>0.49934309309309305</v>
      </c>
      <c r="BE5" s="42"/>
    </row>
    <row r="6" spans="1:57" x14ac:dyDescent="0.25">
      <c r="A6" t="s">
        <v>134</v>
      </c>
      <c r="D6" s="162">
        <v>56.4</v>
      </c>
      <c r="E6" s="162">
        <v>77.739999999999995</v>
      </c>
      <c r="F6" s="81"/>
      <c r="G6" s="153">
        <f t="shared" si="0"/>
        <v>66.777599999999993</v>
      </c>
      <c r="H6" s="153">
        <f t="shared" si="0"/>
        <v>92.044159999999991</v>
      </c>
      <c r="I6" s="83"/>
      <c r="J6" s="155">
        <f>G6-D6</f>
        <v>10.377599999999994</v>
      </c>
      <c r="K6" s="155">
        <f>H6-E6</f>
        <v>14.304159999999996</v>
      </c>
      <c r="L6" s="83"/>
      <c r="M6" s="134">
        <f t="shared" ref="M6:N8" si="9">ROUND(D6*(1+$G$1*2),2)*SUM(1+$M$1)</f>
        <v>73.458000000000013</v>
      </c>
      <c r="N6" s="134">
        <f t="shared" si="9"/>
        <v>101.24400000000001</v>
      </c>
      <c r="P6" s="134">
        <f>M6-D6</f>
        <v>17.058000000000014</v>
      </c>
      <c r="Q6" s="134">
        <f>N6-E6</f>
        <v>23.504000000000019</v>
      </c>
      <c r="S6" s="141">
        <f t="shared" si="1"/>
        <v>0.10003354418248037</v>
      </c>
      <c r="T6" s="141">
        <f t="shared" si="1"/>
        <v>9.995202302894611E-2</v>
      </c>
      <c r="V6" s="41">
        <f t="shared" si="2"/>
        <v>112.8</v>
      </c>
      <c r="W6" s="41">
        <f t="shared" si="2"/>
        <v>155.47999999999999</v>
      </c>
      <c r="X6" s="82"/>
      <c r="Y6" s="41">
        <f t="shared" ref="Y6:Z8" si="10">ROUND(D6/(1-$Y$1)*1.2,2)</f>
        <v>135.36000000000001</v>
      </c>
      <c r="Z6" s="41">
        <f t="shared" si="10"/>
        <v>186.58</v>
      </c>
      <c r="AB6" s="182">
        <f t="shared" ref="AB6:AC8" si="11">ROUNDDOWN(D6/(1-$Y$1)*1.2,1)</f>
        <v>135.30000000000001</v>
      </c>
      <c r="AC6" s="182">
        <f t="shared" si="11"/>
        <v>186.5</v>
      </c>
      <c r="AE6" s="40">
        <f t="shared" ref="AE6:AF8" si="12">AB6/1.2</f>
        <v>112.75000000000001</v>
      </c>
      <c r="AF6" s="40">
        <f t="shared" si="12"/>
        <v>155.41666666666669</v>
      </c>
      <c r="AH6" s="40">
        <f t="shared" ref="AH6:AI8" si="13">Y6-AB6</f>
        <v>6.0000000000002274E-2</v>
      </c>
      <c r="AI6" s="40">
        <f t="shared" si="13"/>
        <v>8.0000000000012506E-2</v>
      </c>
      <c r="AK6" s="130">
        <f t="shared" si="3"/>
        <v>6.68</v>
      </c>
      <c r="AL6" s="130">
        <f t="shared" si="3"/>
        <v>9.1999999999999993</v>
      </c>
      <c r="AM6" s="40"/>
      <c r="AN6" s="40">
        <f t="shared" ref="AN6:AN8" si="14">SUM(V6-G6)-AH6</f>
        <v>45.962400000000002</v>
      </c>
      <c r="AO6" s="40">
        <f t="shared" ref="AO6:AO8" si="15">SUM(W6-H6)-AI6</f>
        <v>63.355839999999986</v>
      </c>
      <c r="AP6" s="40"/>
      <c r="AQ6" s="144">
        <f t="shared" si="4"/>
        <v>9.1999999999999943E-2</v>
      </c>
      <c r="AR6" s="144">
        <f t="shared" si="4"/>
        <v>9.1999999999999985E-2</v>
      </c>
      <c r="AS6" s="40"/>
      <c r="AT6" s="146">
        <f t="shared" si="5"/>
        <v>0.40746808510638299</v>
      </c>
      <c r="AU6" s="146">
        <f t="shared" si="5"/>
        <v>0.40748546436840744</v>
      </c>
      <c r="AV6" s="40"/>
      <c r="AW6" s="76">
        <f t="shared" si="6"/>
        <v>0.5</v>
      </c>
      <c r="AX6" s="76">
        <f t="shared" si="6"/>
        <v>0.5</v>
      </c>
      <c r="AY6" s="42"/>
      <c r="AZ6" s="42">
        <f t="shared" si="7"/>
        <v>56.339999999999996</v>
      </c>
      <c r="BA6" s="42">
        <f t="shared" si="7"/>
        <v>77.659999999999982</v>
      </c>
      <c r="BB6" s="42"/>
      <c r="BC6" s="76">
        <f t="shared" si="8"/>
        <v>0.49946808510638296</v>
      </c>
      <c r="BD6" s="76">
        <f t="shared" si="8"/>
        <v>0.49948546436840741</v>
      </c>
      <c r="BE6" s="42"/>
    </row>
    <row r="7" spans="1:57" x14ac:dyDescent="0.25">
      <c r="A7" t="s">
        <v>135</v>
      </c>
      <c r="D7" s="162">
        <v>62.84</v>
      </c>
      <c r="E7" s="162">
        <v>88.36</v>
      </c>
      <c r="F7" s="81"/>
      <c r="G7" s="153">
        <f t="shared" si="0"/>
        <v>74.402559999999994</v>
      </c>
      <c r="H7" s="153">
        <f t="shared" si="0"/>
        <v>104.61824</v>
      </c>
      <c r="J7" s="155">
        <f t="shared" ref="J7:K8" si="16">G7-D7</f>
        <v>11.562559999999991</v>
      </c>
      <c r="K7" s="155">
        <f t="shared" si="16"/>
        <v>16.258240000000001</v>
      </c>
      <c r="M7" s="134">
        <f t="shared" si="9"/>
        <v>81.840000000000018</v>
      </c>
      <c r="N7" s="134">
        <f t="shared" si="9"/>
        <v>115.08200000000001</v>
      </c>
      <c r="P7" s="134">
        <f t="shared" ref="P7:Q8" si="17">M7-D7</f>
        <v>19.000000000000014</v>
      </c>
      <c r="Q7" s="134">
        <f t="shared" si="17"/>
        <v>26.722000000000008</v>
      </c>
      <c r="S7" s="141">
        <f t="shared" si="1"/>
        <v>9.9996559258176076E-2</v>
      </c>
      <c r="T7" s="141">
        <f t="shared" si="1"/>
        <v>9.9982565181750346E-2</v>
      </c>
      <c r="V7" s="41">
        <f t="shared" si="2"/>
        <v>125.68</v>
      </c>
      <c r="W7" s="41">
        <f t="shared" si="2"/>
        <v>176.72</v>
      </c>
      <c r="Y7" s="41">
        <f t="shared" si="10"/>
        <v>150.82</v>
      </c>
      <c r="Z7" s="41">
        <f t="shared" si="10"/>
        <v>212.06</v>
      </c>
      <c r="AB7" s="182">
        <f t="shared" si="11"/>
        <v>150.80000000000001</v>
      </c>
      <c r="AC7" s="182">
        <f t="shared" si="11"/>
        <v>212</v>
      </c>
      <c r="AE7" s="40">
        <f t="shared" si="12"/>
        <v>125.66666666666669</v>
      </c>
      <c r="AF7" s="40">
        <f t="shared" si="12"/>
        <v>176.66666666666669</v>
      </c>
      <c r="AH7" s="40">
        <f t="shared" si="13"/>
        <v>1.999999999998181E-2</v>
      </c>
      <c r="AI7" s="40">
        <f t="shared" si="13"/>
        <v>6.0000000000002274E-2</v>
      </c>
      <c r="AK7" s="130">
        <f t="shared" si="3"/>
        <v>7.44</v>
      </c>
      <c r="AL7" s="130">
        <f t="shared" si="3"/>
        <v>10.46</v>
      </c>
      <c r="AM7" s="40"/>
      <c r="AN7" s="40">
        <f t="shared" si="14"/>
        <v>51.257440000000031</v>
      </c>
      <c r="AO7" s="40">
        <f t="shared" si="15"/>
        <v>72.041759999999996</v>
      </c>
      <c r="AP7" s="40"/>
      <c r="AQ7" s="144">
        <f t="shared" si="4"/>
        <v>9.1999999999999915E-2</v>
      </c>
      <c r="AR7" s="144">
        <f t="shared" si="4"/>
        <v>9.1999999999999998E-2</v>
      </c>
      <c r="AS7" s="40"/>
      <c r="AT7" s="146">
        <f t="shared" si="5"/>
        <v>0.40784086569064315</v>
      </c>
      <c r="AU7" s="146">
        <f t="shared" si="5"/>
        <v>0.40766047985513804</v>
      </c>
      <c r="AV7" s="40"/>
      <c r="AW7" s="76">
        <f t="shared" si="6"/>
        <v>0.5</v>
      </c>
      <c r="AX7" s="76">
        <f t="shared" si="6"/>
        <v>0.5</v>
      </c>
      <c r="AY7" s="42"/>
      <c r="AZ7" s="42">
        <f t="shared" si="7"/>
        <v>62.820000000000022</v>
      </c>
      <c r="BA7" s="42">
        <f t="shared" si="7"/>
        <v>88.3</v>
      </c>
      <c r="BB7" s="42"/>
      <c r="BC7" s="76">
        <f t="shared" si="8"/>
        <v>0.49984086569064307</v>
      </c>
      <c r="BD7" s="76">
        <f t="shared" si="8"/>
        <v>0.49966047985513806</v>
      </c>
      <c r="BE7" s="42"/>
    </row>
    <row r="8" spans="1:57" x14ac:dyDescent="0.25">
      <c r="A8" t="s">
        <v>136</v>
      </c>
      <c r="D8" s="162">
        <v>65.39</v>
      </c>
      <c r="E8" s="162">
        <v>90.96</v>
      </c>
      <c r="F8" s="81"/>
      <c r="G8" s="153">
        <f t="shared" si="0"/>
        <v>77.421759999999992</v>
      </c>
      <c r="H8" s="153">
        <f t="shared" si="0"/>
        <v>107.69663999999999</v>
      </c>
      <c r="J8" s="155">
        <f t="shared" si="16"/>
        <v>12.031759999999991</v>
      </c>
      <c r="K8" s="155">
        <f t="shared" si="16"/>
        <v>16.736639999999994</v>
      </c>
      <c r="M8" s="134">
        <f t="shared" si="9"/>
        <v>85.162000000000006</v>
      </c>
      <c r="N8" s="134">
        <f t="shared" si="9"/>
        <v>118.47000000000001</v>
      </c>
      <c r="P8" s="134">
        <f t="shared" si="17"/>
        <v>19.772000000000006</v>
      </c>
      <c r="Q8" s="134">
        <f t="shared" si="17"/>
        <v>27.510000000000019</v>
      </c>
      <c r="S8" s="141">
        <f t="shared" si="1"/>
        <v>9.9971894206486667E-2</v>
      </c>
      <c r="T8" s="141">
        <f t="shared" si="1"/>
        <v>0.10000311987449191</v>
      </c>
      <c r="V8" s="41">
        <f t="shared" si="2"/>
        <v>130.78</v>
      </c>
      <c r="W8" s="41">
        <f t="shared" si="2"/>
        <v>181.92</v>
      </c>
      <c r="Y8" s="41">
        <f t="shared" si="10"/>
        <v>156.94</v>
      </c>
      <c r="Z8" s="41">
        <f t="shared" si="10"/>
        <v>218.3</v>
      </c>
      <c r="AB8" s="182">
        <f t="shared" si="11"/>
        <v>156.9</v>
      </c>
      <c r="AC8" s="182">
        <f t="shared" si="11"/>
        <v>218.3</v>
      </c>
      <c r="AE8" s="40">
        <f t="shared" si="12"/>
        <v>130.75</v>
      </c>
      <c r="AF8" s="40">
        <f t="shared" si="12"/>
        <v>181.91666666666669</v>
      </c>
      <c r="AH8" s="40">
        <f t="shared" si="13"/>
        <v>3.9999999999992042E-2</v>
      </c>
      <c r="AI8" s="40">
        <f t="shared" si="13"/>
        <v>0</v>
      </c>
      <c r="AK8" s="130">
        <f t="shared" si="3"/>
        <v>7.74</v>
      </c>
      <c r="AL8" s="130">
        <f t="shared" si="3"/>
        <v>10.77</v>
      </c>
      <c r="AM8" s="40"/>
      <c r="AN8" s="40">
        <f t="shared" si="14"/>
        <v>53.318240000000017</v>
      </c>
      <c r="AO8" s="40">
        <f t="shared" si="15"/>
        <v>74.22336</v>
      </c>
      <c r="AP8" s="40"/>
      <c r="AQ8" s="144">
        <f t="shared" si="4"/>
        <v>9.1999999999999929E-2</v>
      </c>
      <c r="AR8" s="144">
        <f t="shared" si="4"/>
        <v>9.1999999999999971E-2</v>
      </c>
      <c r="AS8" s="40"/>
      <c r="AT8" s="146">
        <f t="shared" si="5"/>
        <v>0.40769414283529604</v>
      </c>
      <c r="AU8" s="146">
        <f t="shared" si="5"/>
        <v>0.40800000000000003</v>
      </c>
      <c r="AV8" s="40"/>
      <c r="AW8" s="76">
        <f t="shared" si="6"/>
        <v>0.5</v>
      </c>
      <c r="AX8" s="76">
        <f t="shared" si="6"/>
        <v>0.5</v>
      </c>
      <c r="AY8" s="42"/>
      <c r="AZ8" s="42">
        <f t="shared" si="7"/>
        <v>65.350000000000009</v>
      </c>
      <c r="BA8" s="42">
        <f t="shared" si="7"/>
        <v>90.96</v>
      </c>
      <c r="BB8" s="42"/>
      <c r="BC8" s="76">
        <f t="shared" si="8"/>
        <v>0.49969414283529595</v>
      </c>
      <c r="BD8" s="76">
        <f t="shared" si="8"/>
        <v>0.5</v>
      </c>
      <c r="BE8" s="42"/>
    </row>
    <row r="9" spans="1:57" x14ac:dyDescent="0.25">
      <c r="A9"/>
      <c r="D9" s="162"/>
      <c r="E9" s="162"/>
      <c r="F9" s="41"/>
      <c r="G9" s="153"/>
      <c r="H9" s="153"/>
      <c r="I9" s="75"/>
      <c r="J9" s="156"/>
      <c r="K9" s="156"/>
      <c r="L9" s="75"/>
      <c r="M9" s="134"/>
      <c r="N9" s="134"/>
      <c r="P9" s="134"/>
      <c r="Q9" s="134"/>
      <c r="S9" s="140"/>
      <c r="T9" s="140"/>
      <c r="V9" s="40"/>
      <c r="W9" s="40"/>
      <c r="Y9" s="41"/>
      <c r="Z9" s="41"/>
      <c r="AK9" s="130"/>
      <c r="AL9" s="130"/>
      <c r="AM9" s="40"/>
      <c r="AN9" s="40"/>
      <c r="AO9" s="40"/>
      <c r="AP9" s="40"/>
      <c r="AQ9" s="145"/>
      <c r="AR9" s="145"/>
      <c r="AS9" s="40"/>
      <c r="AT9" s="146"/>
      <c r="AU9" s="146"/>
      <c r="AV9" s="40"/>
      <c r="AW9" s="76"/>
      <c r="AX9" s="76"/>
      <c r="AY9" s="42"/>
      <c r="AZ9" s="42"/>
      <c r="BA9" s="42"/>
      <c r="BB9" s="42"/>
      <c r="BC9" s="76"/>
      <c r="BD9" s="76"/>
      <c r="BE9" s="42"/>
    </row>
    <row r="10" spans="1:57" x14ac:dyDescent="0.25">
      <c r="A10" s="167" t="s">
        <v>137</v>
      </c>
      <c r="B10" s="4"/>
      <c r="D10" s="162"/>
      <c r="E10" s="162"/>
      <c r="F10" s="41"/>
      <c r="G10" s="153"/>
      <c r="H10" s="153"/>
      <c r="J10" s="154"/>
      <c r="K10" s="154"/>
      <c r="M10" s="134"/>
      <c r="N10" s="134"/>
      <c r="P10" s="134"/>
      <c r="Q10" s="134"/>
      <c r="S10" s="140"/>
      <c r="T10" s="140"/>
      <c r="V10" s="40"/>
      <c r="W10" s="40"/>
      <c r="Y10" s="41"/>
      <c r="Z10" s="41"/>
      <c r="AK10" s="130"/>
      <c r="AL10" s="130"/>
      <c r="AM10" s="40"/>
      <c r="AN10" s="40"/>
      <c r="AO10" s="40"/>
      <c r="AP10" s="40"/>
      <c r="AQ10" s="145"/>
      <c r="AR10" s="145"/>
      <c r="AS10" s="40"/>
      <c r="AT10" s="146"/>
      <c r="AU10" s="146"/>
      <c r="AV10" s="40"/>
      <c r="AW10" s="76"/>
      <c r="AX10" s="76"/>
      <c r="AY10" s="42"/>
      <c r="AZ10" s="42"/>
      <c r="BA10" s="42"/>
      <c r="BB10" s="42"/>
      <c r="BC10" s="76"/>
      <c r="BD10" s="76"/>
      <c r="BE10" s="42"/>
    </row>
    <row r="11" spans="1:57" x14ac:dyDescent="0.25">
      <c r="A11" t="s">
        <v>133</v>
      </c>
      <c r="D11" s="162">
        <v>38.33</v>
      </c>
      <c r="E11" s="162">
        <v>53.28</v>
      </c>
      <c r="F11" s="81"/>
      <c r="G11" s="153">
        <f t="shared" ref="G11:H14" si="18">D11*SUM(1+$G$1/$Y$1)</f>
        <v>45.382719999999999</v>
      </c>
      <c r="H11" s="153">
        <f t="shared" si="18"/>
        <v>63.08352</v>
      </c>
      <c r="J11" s="155">
        <f t="shared" ref="J11:K14" si="19">G11-D11</f>
        <v>7.0527200000000008</v>
      </c>
      <c r="K11" s="155">
        <f t="shared" si="19"/>
        <v>9.8035199999999989</v>
      </c>
      <c r="M11" s="134">
        <f>ROUND(D11*(1+$G$1*2),2)*SUM(1+$M$1)</f>
        <v>49.918000000000006</v>
      </c>
      <c r="N11" s="134">
        <f>ROUND(E11*(1+$G$1*2),2)*SUM(1+$M$1)</f>
        <v>69.388000000000005</v>
      </c>
      <c r="P11" s="134">
        <f t="shared" ref="P11:Q14" si="20">M11-D11</f>
        <v>11.588000000000008</v>
      </c>
      <c r="Q11" s="134">
        <f t="shared" si="20"/>
        <v>16.108000000000004</v>
      </c>
      <c r="S11" s="141">
        <f t="shared" ref="S11:T14" si="21">AK11/G11</f>
        <v>0.10003807616643516</v>
      </c>
      <c r="T11" s="141">
        <f t="shared" si="21"/>
        <v>0.10002612409707004</v>
      </c>
      <c r="V11" s="41">
        <f t="shared" ref="V11:W14" si="22">SUM(D11/(1-$Y$1))</f>
        <v>76.66</v>
      </c>
      <c r="W11" s="41">
        <f t="shared" si="22"/>
        <v>106.56</v>
      </c>
      <c r="Y11" s="41">
        <f>ROUND(D11/(1-$Y$1)*1.2,2)</f>
        <v>91.99</v>
      </c>
      <c r="Z11" s="41">
        <f>ROUND(E11/(1-$Y$1)*1.2,2)</f>
        <v>127.87</v>
      </c>
      <c r="AB11" s="182">
        <f t="shared" ref="AB11:AC14" si="23">ROUNDDOWN(D11/(1-$Y$1)*1.2,1)</f>
        <v>91.9</v>
      </c>
      <c r="AC11" s="182">
        <f t="shared" si="23"/>
        <v>127.8</v>
      </c>
      <c r="AE11" s="40">
        <f t="shared" ref="AE11:AF14" si="24">AB11/1.2</f>
        <v>76.583333333333343</v>
      </c>
      <c r="AF11" s="40">
        <f t="shared" si="24"/>
        <v>106.5</v>
      </c>
      <c r="AH11" s="40">
        <f t="shared" ref="AH11:AI14" si="25">Y11-AB11</f>
        <v>8.99999999999892E-2</v>
      </c>
      <c r="AI11" s="40">
        <f t="shared" si="25"/>
        <v>7.000000000000739E-2</v>
      </c>
      <c r="AK11" s="130">
        <f t="shared" ref="AK11:AL14" si="26">ROUND(M11*(1-(1/(1+$AL$1))),2)</f>
        <v>4.54</v>
      </c>
      <c r="AL11" s="130">
        <f t="shared" si="26"/>
        <v>6.31</v>
      </c>
      <c r="AM11" s="40"/>
      <c r="AN11" s="40">
        <f t="shared" ref="AN11:AN14" si="27">SUM(V11-G11)-AH11</f>
        <v>31.187280000000008</v>
      </c>
      <c r="AO11" s="40">
        <f t="shared" ref="AO11:AO14" si="28">SUM(W11-H11)-AI11</f>
        <v>43.406479999999995</v>
      </c>
      <c r="AP11" s="40"/>
      <c r="AQ11" s="144">
        <f t="shared" ref="AQ11:AR14" si="29">(SUM(G11-D11)/D11*$Y$1)</f>
        <v>9.2000000000000012E-2</v>
      </c>
      <c r="AR11" s="144">
        <f t="shared" si="29"/>
        <v>9.1999999999999985E-2</v>
      </c>
      <c r="AS11" s="40"/>
      <c r="AT11" s="146">
        <f t="shared" ref="AT11:AU14" si="30">AN11/V11</f>
        <v>0.40682598486824956</v>
      </c>
      <c r="AU11" s="146">
        <f t="shared" si="30"/>
        <v>0.40734309309309302</v>
      </c>
      <c r="AV11" s="40"/>
      <c r="AW11" s="76">
        <f t="shared" ref="AW11:AX14" si="31">D11/V11</f>
        <v>0.5</v>
      </c>
      <c r="AX11" s="76">
        <f t="shared" si="31"/>
        <v>0.5</v>
      </c>
      <c r="AY11" s="42"/>
      <c r="AZ11" s="42">
        <f t="shared" ref="AZ11:BA14" si="32">J11+AN11</f>
        <v>38.240000000000009</v>
      </c>
      <c r="BA11" s="42">
        <f t="shared" si="32"/>
        <v>53.209999999999994</v>
      </c>
      <c r="BB11" s="42"/>
      <c r="BC11" s="76">
        <f t="shared" ref="BC11:BD14" si="33">AZ11/(D11/$Y$1)</f>
        <v>0.49882598486824953</v>
      </c>
      <c r="BD11" s="76">
        <f t="shared" si="33"/>
        <v>0.49934309309309305</v>
      </c>
      <c r="BE11" s="42"/>
    </row>
    <row r="12" spans="1:57" x14ac:dyDescent="0.25">
      <c r="A12" t="s">
        <v>134</v>
      </c>
      <c r="D12" s="162">
        <v>56.4</v>
      </c>
      <c r="E12" s="162">
        <v>77.739999999999995</v>
      </c>
      <c r="F12" s="81"/>
      <c r="G12" s="153">
        <f t="shared" si="18"/>
        <v>66.777599999999993</v>
      </c>
      <c r="H12" s="153">
        <f t="shared" si="18"/>
        <v>92.044159999999991</v>
      </c>
      <c r="J12" s="155">
        <f t="shared" si="19"/>
        <v>10.377599999999994</v>
      </c>
      <c r="K12" s="155">
        <f t="shared" si="19"/>
        <v>14.304159999999996</v>
      </c>
      <c r="M12" s="134">
        <f>ROUND(D12*(1+$G$1*2),2)*SUM(1+$M$1)</f>
        <v>73.458000000000013</v>
      </c>
      <c r="N12" s="134">
        <f t="shared" ref="M12:N14" si="34">ROUND(E12*(1+$G$1*2),2)*SUM(1+$M$1)</f>
        <v>101.24400000000001</v>
      </c>
      <c r="P12" s="134">
        <f t="shared" si="20"/>
        <v>17.058000000000014</v>
      </c>
      <c r="Q12" s="134">
        <f t="shared" si="20"/>
        <v>23.504000000000019</v>
      </c>
      <c r="S12" s="141">
        <f t="shared" si="21"/>
        <v>0.10003354418248037</v>
      </c>
      <c r="T12" s="141">
        <f t="shared" si="21"/>
        <v>9.995202302894611E-2</v>
      </c>
      <c r="V12" s="41">
        <f t="shared" si="22"/>
        <v>112.8</v>
      </c>
      <c r="W12" s="41">
        <f t="shared" si="22"/>
        <v>155.47999999999999</v>
      </c>
      <c r="Y12" s="41">
        <f t="shared" ref="Y12:Z14" si="35">ROUND(D12/(1-$Y$1)*1.2,2)</f>
        <v>135.36000000000001</v>
      </c>
      <c r="Z12" s="41">
        <f t="shared" si="35"/>
        <v>186.58</v>
      </c>
      <c r="AB12" s="182">
        <f t="shared" si="23"/>
        <v>135.30000000000001</v>
      </c>
      <c r="AC12" s="182">
        <f t="shared" si="23"/>
        <v>186.5</v>
      </c>
      <c r="AE12" s="40">
        <f t="shared" si="24"/>
        <v>112.75000000000001</v>
      </c>
      <c r="AF12" s="40">
        <f t="shared" si="24"/>
        <v>155.41666666666669</v>
      </c>
      <c r="AH12" s="40">
        <f t="shared" si="25"/>
        <v>6.0000000000002274E-2</v>
      </c>
      <c r="AI12" s="40">
        <f t="shared" si="25"/>
        <v>8.0000000000012506E-2</v>
      </c>
      <c r="AK12" s="130">
        <f t="shared" si="26"/>
        <v>6.68</v>
      </c>
      <c r="AL12" s="130">
        <f t="shared" si="26"/>
        <v>9.1999999999999993</v>
      </c>
      <c r="AM12" s="40"/>
      <c r="AN12" s="40">
        <f t="shared" si="27"/>
        <v>45.962400000000002</v>
      </c>
      <c r="AO12" s="40">
        <f t="shared" si="28"/>
        <v>63.355839999999986</v>
      </c>
      <c r="AP12" s="40"/>
      <c r="AQ12" s="144">
        <f t="shared" si="29"/>
        <v>9.1999999999999943E-2</v>
      </c>
      <c r="AR12" s="144">
        <f t="shared" si="29"/>
        <v>9.1999999999999985E-2</v>
      </c>
      <c r="AS12" s="40"/>
      <c r="AT12" s="146">
        <f t="shared" si="30"/>
        <v>0.40746808510638299</v>
      </c>
      <c r="AU12" s="146">
        <f t="shared" si="30"/>
        <v>0.40748546436840744</v>
      </c>
      <c r="AV12" s="40"/>
      <c r="AW12" s="76">
        <f t="shared" si="31"/>
        <v>0.5</v>
      </c>
      <c r="AX12" s="76">
        <f t="shared" si="31"/>
        <v>0.5</v>
      </c>
      <c r="AY12" s="42"/>
      <c r="AZ12" s="42">
        <f t="shared" si="32"/>
        <v>56.339999999999996</v>
      </c>
      <c r="BA12" s="42">
        <f t="shared" si="32"/>
        <v>77.659999999999982</v>
      </c>
      <c r="BB12" s="42"/>
      <c r="BC12" s="76">
        <f t="shared" si="33"/>
        <v>0.49946808510638296</v>
      </c>
      <c r="BD12" s="76">
        <f t="shared" si="33"/>
        <v>0.49948546436840741</v>
      </c>
      <c r="BE12" s="42"/>
    </row>
    <row r="13" spans="1:57" x14ac:dyDescent="0.25">
      <c r="A13" t="s">
        <v>135</v>
      </c>
      <c r="D13" s="162">
        <v>62.84</v>
      </c>
      <c r="E13" s="162">
        <v>88.36</v>
      </c>
      <c r="F13" s="81"/>
      <c r="G13" s="153">
        <f t="shared" si="18"/>
        <v>74.402559999999994</v>
      </c>
      <c r="H13" s="153">
        <f t="shared" si="18"/>
        <v>104.61824</v>
      </c>
      <c r="J13" s="155">
        <f t="shared" si="19"/>
        <v>11.562559999999991</v>
      </c>
      <c r="K13" s="155">
        <f t="shared" si="19"/>
        <v>16.258240000000001</v>
      </c>
      <c r="M13" s="134">
        <f t="shared" si="34"/>
        <v>81.840000000000018</v>
      </c>
      <c r="N13" s="134">
        <f t="shared" si="34"/>
        <v>115.08200000000001</v>
      </c>
      <c r="P13" s="134">
        <f t="shared" si="20"/>
        <v>19.000000000000014</v>
      </c>
      <c r="Q13" s="134">
        <f t="shared" si="20"/>
        <v>26.722000000000008</v>
      </c>
      <c r="S13" s="141">
        <f t="shared" si="21"/>
        <v>9.9996559258176076E-2</v>
      </c>
      <c r="T13" s="141">
        <f t="shared" si="21"/>
        <v>9.9982565181750346E-2</v>
      </c>
      <c r="V13" s="41">
        <f t="shared" si="22"/>
        <v>125.68</v>
      </c>
      <c r="W13" s="41">
        <f t="shared" si="22"/>
        <v>176.72</v>
      </c>
      <c r="Y13" s="41">
        <f t="shared" si="35"/>
        <v>150.82</v>
      </c>
      <c r="Z13" s="41">
        <f t="shared" si="35"/>
        <v>212.06</v>
      </c>
      <c r="AB13" s="182">
        <f t="shared" si="23"/>
        <v>150.80000000000001</v>
      </c>
      <c r="AC13" s="182">
        <f t="shared" si="23"/>
        <v>212</v>
      </c>
      <c r="AE13" s="40">
        <f t="shared" si="24"/>
        <v>125.66666666666669</v>
      </c>
      <c r="AF13" s="40">
        <f t="shared" si="24"/>
        <v>176.66666666666669</v>
      </c>
      <c r="AH13" s="40">
        <f t="shared" si="25"/>
        <v>1.999999999998181E-2</v>
      </c>
      <c r="AI13" s="40">
        <f t="shared" si="25"/>
        <v>6.0000000000002274E-2</v>
      </c>
      <c r="AK13" s="130">
        <f t="shared" si="26"/>
        <v>7.44</v>
      </c>
      <c r="AL13" s="130">
        <f t="shared" si="26"/>
        <v>10.46</v>
      </c>
      <c r="AM13" s="40"/>
      <c r="AN13" s="40">
        <f t="shared" si="27"/>
        <v>51.257440000000031</v>
      </c>
      <c r="AO13" s="40">
        <f t="shared" si="28"/>
        <v>72.041759999999996</v>
      </c>
      <c r="AP13" s="40"/>
      <c r="AQ13" s="144">
        <f t="shared" si="29"/>
        <v>9.1999999999999915E-2</v>
      </c>
      <c r="AR13" s="144">
        <f t="shared" si="29"/>
        <v>9.1999999999999998E-2</v>
      </c>
      <c r="AS13" s="40"/>
      <c r="AT13" s="146">
        <f t="shared" si="30"/>
        <v>0.40784086569064315</v>
      </c>
      <c r="AU13" s="146">
        <f t="shared" si="30"/>
        <v>0.40766047985513804</v>
      </c>
      <c r="AV13" s="40"/>
      <c r="AW13" s="76">
        <f t="shared" si="31"/>
        <v>0.5</v>
      </c>
      <c r="AX13" s="76">
        <f t="shared" si="31"/>
        <v>0.5</v>
      </c>
      <c r="AY13" s="42"/>
      <c r="AZ13" s="42">
        <f t="shared" si="32"/>
        <v>62.820000000000022</v>
      </c>
      <c r="BA13" s="42">
        <f t="shared" si="32"/>
        <v>88.3</v>
      </c>
      <c r="BB13" s="42"/>
      <c r="BC13" s="76">
        <f t="shared" si="33"/>
        <v>0.49984086569064307</v>
      </c>
      <c r="BD13" s="76">
        <f t="shared" si="33"/>
        <v>0.49966047985513806</v>
      </c>
      <c r="BE13" s="42"/>
    </row>
    <row r="14" spans="1:57" x14ac:dyDescent="0.25">
      <c r="A14" t="s">
        <v>136</v>
      </c>
      <c r="D14" s="162">
        <v>65.39</v>
      </c>
      <c r="E14" s="162">
        <v>90.96</v>
      </c>
      <c r="F14" s="81"/>
      <c r="G14" s="153">
        <f t="shared" si="18"/>
        <v>77.421759999999992</v>
      </c>
      <c r="H14" s="153">
        <f t="shared" si="18"/>
        <v>107.69663999999999</v>
      </c>
      <c r="J14" s="155">
        <f t="shared" si="19"/>
        <v>12.031759999999991</v>
      </c>
      <c r="K14" s="155">
        <f t="shared" si="19"/>
        <v>16.736639999999994</v>
      </c>
      <c r="M14" s="134">
        <f t="shared" si="34"/>
        <v>85.162000000000006</v>
      </c>
      <c r="N14" s="134">
        <f t="shared" si="34"/>
        <v>118.47000000000001</v>
      </c>
      <c r="P14" s="134">
        <f t="shared" si="20"/>
        <v>19.772000000000006</v>
      </c>
      <c r="Q14" s="134">
        <f t="shared" si="20"/>
        <v>27.510000000000019</v>
      </c>
      <c r="S14" s="141">
        <f t="shared" si="21"/>
        <v>9.9971894206486667E-2</v>
      </c>
      <c r="T14" s="141">
        <f t="shared" si="21"/>
        <v>0.10000311987449191</v>
      </c>
      <c r="V14" s="41">
        <f t="shared" si="22"/>
        <v>130.78</v>
      </c>
      <c r="W14" s="41">
        <f t="shared" si="22"/>
        <v>181.92</v>
      </c>
      <c r="Y14" s="41">
        <f t="shared" si="35"/>
        <v>156.94</v>
      </c>
      <c r="Z14" s="41">
        <f t="shared" si="35"/>
        <v>218.3</v>
      </c>
      <c r="AB14" s="182">
        <f t="shared" si="23"/>
        <v>156.9</v>
      </c>
      <c r="AC14" s="182">
        <f t="shared" si="23"/>
        <v>218.3</v>
      </c>
      <c r="AE14" s="40">
        <f t="shared" si="24"/>
        <v>130.75</v>
      </c>
      <c r="AF14" s="40">
        <f t="shared" si="24"/>
        <v>181.91666666666669</v>
      </c>
      <c r="AH14" s="40">
        <f t="shared" si="25"/>
        <v>3.9999999999992042E-2</v>
      </c>
      <c r="AI14" s="40">
        <f t="shared" si="25"/>
        <v>0</v>
      </c>
      <c r="AK14" s="130">
        <f t="shared" si="26"/>
        <v>7.74</v>
      </c>
      <c r="AL14" s="130">
        <f t="shared" si="26"/>
        <v>10.77</v>
      </c>
      <c r="AM14" s="40"/>
      <c r="AN14" s="40">
        <f t="shared" si="27"/>
        <v>53.318240000000017</v>
      </c>
      <c r="AO14" s="40">
        <f t="shared" si="28"/>
        <v>74.22336</v>
      </c>
      <c r="AP14" s="40"/>
      <c r="AQ14" s="144">
        <f t="shared" si="29"/>
        <v>9.1999999999999929E-2</v>
      </c>
      <c r="AR14" s="144">
        <f t="shared" si="29"/>
        <v>9.1999999999999971E-2</v>
      </c>
      <c r="AS14" s="40"/>
      <c r="AT14" s="146">
        <f t="shared" si="30"/>
        <v>0.40769414283529604</v>
      </c>
      <c r="AU14" s="146">
        <f t="shared" si="30"/>
        <v>0.40800000000000003</v>
      </c>
      <c r="AV14" s="40"/>
      <c r="AW14" s="76">
        <f t="shared" si="31"/>
        <v>0.5</v>
      </c>
      <c r="AX14" s="76">
        <f t="shared" si="31"/>
        <v>0.5</v>
      </c>
      <c r="AY14" s="42"/>
      <c r="AZ14" s="42">
        <f t="shared" si="32"/>
        <v>65.350000000000009</v>
      </c>
      <c r="BA14" s="42">
        <f t="shared" si="32"/>
        <v>90.96</v>
      </c>
      <c r="BB14" s="42"/>
      <c r="BC14" s="76">
        <f t="shared" si="33"/>
        <v>0.49969414283529595</v>
      </c>
      <c r="BD14" s="76">
        <f t="shared" si="33"/>
        <v>0.5</v>
      </c>
      <c r="BE14" s="42"/>
    </row>
    <row r="15" spans="1:57" x14ac:dyDescent="0.25">
      <c r="A15"/>
      <c r="D15" s="150"/>
      <c r="E15" s="150"/>
      <c r="F15" s="41"/>
      <c r="G15" s="153"/>
      <c r="H15" s="153"/>
      <c r="J15" s="154"/>
      <c r="K15" s="154"/>
      <c r="M15" s="134"/>
      <c r="N15" s="134"/>
      <c r="P15" s="134"/>
      <c r="Q15" s="134"/>
      <c r="S15" s="140"/>
      <c r="T15" s="140"/>
      <c r="V15" s="40"/>
      <c r="W15" s="40"/>
      <c r="Y15" s="41"/>
      <c r="Z15" s="41"/>
      <c r="AK15" s="130"/>
      <c r="AL15" s="130"/>
      <c r="AM15" s="40"/>
      <c r="AN15" s="40"/>
      <c r="AO15" s="40"/>
      <c r="AP15" s="40"/>
      <c r="AQ15" s="145"/>
      <c r="AR15" s="145"/>
      <c r="AS15" s="40"/>
      <c r="AT15" s="146"/>
      <c r="AU15" s="146"/>
      <c r="AV15" s="40"/>
      <c r="AW15" s="76"/>
      <c r="AX15" s="76"/>
      <c r="AY15" s="42"/>
      <c r="AZ15" s="42"/>
      <c r="BA15" s="42"/>
      <c r="BB15" s="42"/>
      <c r="BC15" s="76"/>
      <c r="BD15" s="76"/>
      <c r="BE15" s="42"/>
    </row>
    <row r="16" spans="1:57" x14ac:dyDescent="0.25">
      <c r="A16" s="167" t="s">
        <v>138</v>
      </c>
      <c r="B16" s="4"/>
      <c r="D16" s="149"/>
      <c r="E16" s="149"/>
      <c r="F16" s="41"/>
      <c r="G16" s="153"/>
      <c r="H16" s="153"/>
      <c r="J16" s="154"/>
      <c r="K16" s="154"/>
      <c r="M16" s="134"/>
      <c r="N16" s="134"/>
      <c r="P16" s="134"/>
      <c r="Q16" s="134"/>
      <c r="S16" s="140"/>
      <c r="T16" s="140"/>
      <c r="V16" s="40"/>
      <c r="W16" s="40"/>
      <c r="Y16" s="41"/>
      <c r="Z16" s="41"/>
      <c r="AK16" s="130"/>
      <c r="AL16" s="130"/>
      <c r="AM16" s="40"/>
      <c r="AN16" s="40"/>
      <c r="AO16" s="40"/>
      <c r="AP16" s="40"/>
      <c r="AQ16" s="145"/>
      <c r="AR16" s="145"/>
      <c r="AS16" s="40"/>
      <c r="AT16" s="146"/>
      <c r="AU16" s="146"/>
      <c r="AV16" s="40"/>
      <c r="AW16" s="76"/>
      <c r="AX16" s="76"/>
      <c r="AY16" s="42"/>
      <c r="AZ16" s="42"/>
      <c r="BA16" s="42"/>
      <c r="BB16" s="42"/>
      <c r="BC16" s="76"/>
      <c r="BD16" s="76"/>
      <c r="BE16" s="42"/>
    </row>
    <row r="17" spans="1:57" x14ac:dyDescent="0.25">
      <c r="A17" t="s">
        <v>133</v>
      </c>
      <c r="D17" s="162">
        <v>83.66</v>
      </c>
      <c r="E17" s="162">
        <v>120.84</v>
      </c>
      <c r="F17" s="81"/>
      <c r="G17" s="153">
        <f t="shared" ref="G17:H20" si="36">D17*SUM(1+$G$1/$Y$1)</f>
        <v>99.053439999999995</v>
      </c>
      <c r="H17" s="153">
        <f t="shared" si="36"/>
        <v>143.07455999999999</v>
      </c>
      <c r="I17" s="83"/>
      <c r="J17" s="155">
        <f t="shared" ref="J17:K20" si="37">G17-D17</f>
        <v>15.393439999999998</v>
      </c>
      <c r="K17" s="155">
        <f t="shared" si="37"/>
        <v>22.234559999999988</v>
      </c>
      <c r="L17" s="83"/>
      <c r="M17" s="134">
        <f>ROUND(D17*(1+$G$1*2),2)*SUM(1+$M$1)</f>
        <v>108.95500000000001</v>
      </c>
      <c r="N17" s="134">
        <f>ROUND(E17*(1+$G$1*2),2)*SUM(1+$M$1)</f>
        <v>157.37700000000001</v>
      </c>
      <c r="P17" s="134">
        <f t="shared" ref="P17:Q20" si="38">M17-D17</f>
        <v>25.295000000000016</v>
      </c>
      <c r="Q17" s="134">
        <f t="shared" si="38"/>
        <v>36.537000000000006</v>
      </c>
      <c r="S17" s="141">
        <f t="shared" ref="S17:T20" si="39">AK17/G17</f>
        <v>0.10004700492986413</v>
      </c>
      <c r="T17" s="141">
        <f t="shared" si="39"/>
        <v>0.10001778093883358</v>
      </c>
      <c r="V17" s="41">
        <f t="shared" ref="V17:W20" si="40">SUM(D17/(1-$Y$1))</f>
        <v>167.32</v>
      </c>
      <c r="W17" s="41">
        <f t="shared" si="40"/>
        <v>241.68</v>
      </c>
      <c r="Y17" s="41">
        <f>ROUND(D17/(1-$Y$1)*1.2,2)</f>
        <v>200.78</v>
      </c>
      <c r="Z17" s="41">
        <f>ROUND(E17/(1-$Y$1)*1.2,2)</f>
        <v>290.02</v>
      </c>
      <c r="AB17" s="182">
        <f t="shared" ref="AB17:AC20" si="41">ROUNDDOWN(D17/(1-$Y$1)*1.2,1)</f>
        <v>200.7</v>
      </c>
      <c r="AC17" s="182">
        <f t="shared" si="41"/>
        <v>290</v>
      </c>
      <c r="AE17" s="40">
        <f t="shared" ref="AE17:AF20" si="42">AB17/1.2</f>
        <v>167.25</v>
      </c>
      <c r="AF17" s="40">
        <f t="shared" si="42"/>
        <v>241.66666666666669</v>
      </c>
      <c r="AH17" s="40">
        <f t="shared" ref="AH17:AI20" si="43">Y17-AB17</f>
        <v>8.0000000000012506E-2</v>
      </c>
      <c r="AI17" s="40">
        <f t="shared" si="43"/>
        <v>1.999999999998181E-2</v>
      </c>
      <c r="AK17" s="130">
        <f t="shared" ref="AK17:AL20" si="44">ROUND(M17*(1-(1/(1+$AL$1))),2)</f>
        <v>9.91</v>
      </c>
      <c r="AL17" s="130">
        <f t="shared" si="44"/>
        <v>14.31</v>
      </c>
      <c r="AM17" s="40"/>
      <c r="AN17" s="40">
        <f t="shared" ref="AN17:AN20" si="45">SUM(V17-G17)-AH17</f>
        <v>68.186559999999986</v>
      </c>
      <c r="AO17" s="40">
        <f t="shared" ref="AO17:AO20" si="46">SUM(W17-H17)-AI17</f>
        <v>98.585440000000034</v>
      </c>
      <c r="AP17" s="40"/>
      <c r="AQ17" s="144">
        <f t="shared" ref="AQ17:AR20" si="47">(SUM(G17-D17)/D17*$Y$1)</f>
        <v>9.1999999999999998E-2</v>
      </c>
      <c r="AR17" s="144">
        <f t="shared" si="47"/>
        <v>9.1999999999999943E-2</v>
      </c>
      <c r="AS17" s="40"/>
      <c r="AT17" s="146">
        <f t="shared" ref="AT17:AU20" si="48">AN17/V17</f>
        <v>0.40752187425292846</v>
      </c>
      <c r="AU17" s="146">
        <f t="shared" si="48"/>
        <v>0.40791724594505141</v>
      </c>
      <c r="AV17" s="40"/>
      <c r="AW17" s="76">
        <f t="shared" ref="AW17:AX20" si="49">D17/V17</f>
        <v>0.5</v>
      </c>
      <c r="AX17" s="76">
        <f t="shared" si="49"/>
        <v>0.5</v>
      </c>
      <c r="AY17" s="42"/>
      <c r="AZ17" s="42">
        <f t="shared" ref="AZ17:BA20" si="50">J17+AN17</f>
        <v>83.579999999999984</v>
      </c>
      <c r="BA17" s="42">
        <f t="shared" si="50"/>
        <v>120.82000000000002</v>
      </c>
      <c r="BB17" s="42"/>
      <c r="BC17" s="76">
        <f t="shared" ref="BC17:BD20" si="51">AZ17/(D17/$Y$1)</f>
        <v>0.49952187425292843</v>
      </c>
      <c r="BD17" s="76">
        <f t="shared" si="51"/>
        <v>0.49991724594505138</v>
      </c>
      <c r="BE17" s="42"/>
    </row>
    <row r="18" spans="1:57" x14ac:dyDescent="0.25">
      <c r="A18" t="s">
        <v>134</v>
      </c>
      <c r="D18" s="162">
        <v>124.39</v>
      </c>
      <c r="E18" s="162">
        <v>179.07</v>
      </c>
      <c r="F18" s="81"/>
      <c r="G18" s="153">
        <f t="shared" si="36"/>
        <v>147.27776</v>
      </c>
      <c r="H18" s="153">
        <f t="shared" si="36"/>
        <v>212.01887999999997</v>
      </c>
      <c r="I18" s="83"/>
      <c r="J18" s="155">
        <f t="shared" si="37"/>
        <v>22.88776</v>
      </c>
      <c r="K18" s="155">
        <f t="shared" si="37"/>
        <v>32.948879999999974</v>
      </c>
      <c r="L18" s="83"/>
      <c r="M18" s="134">
        <f t="shared" ref="M18:N20" si="52">ROUND(D18*(1+$G$1*2),2)*SUM(1+$M$1)</f>
        <v>162.00800000000001</v>
      </c>
      <c r="N18" s="134">
        <f t="shared" si="52"/>
        <v>233.22200000000004</v>
      </c>
      <c r="P18" s="134">
        <f t="shared" si="38"/>
        <v>37.618000000000009</v>
      </c>
      <c r="Q18" s="134">
        <f t="shared" si="38"/>
        <v>54.152000000000044</v>
      </c>
      <c r="S18" s="141">
        <f t="shared" si="39"/>
        <v>0.10001510071853348</v>
      </c>
      <c r="T18" s="141">
        <f t="shared" si="39"/>
        <v>9.9991095132659899E-2</v>
      </c>
      <c r="V18" s="41">
        <f t="shared" si="40"/>
        <v>248.78</v>
      </c>
      <c r="W18" s="41">
        <f t="shared" si="40"/>
        <v>358.14</v>
      </c>
      <c r="Y18" s="41">
        <f t="shared" ref="Y18:Z20" si="53">ROUND(D18/(1-$Y$1)*1.2,2)</f>
        <v>298.54000000000002</v>
      </c>
      <c r="Z18" s="41">
        <f t="shared" si="53"/>
        <v>429.77</v>
      </c>
      <c r="AB18" s="182">
        <f t="shared" si="41"/>
        <v>298.5</v>
      </c>
      <c r="AC18" s="182">
        <f t="shared" si="41"/>
        <v>429.7</v>
      </c>
      <c r="AE18" s="40">
        <f t="shared" si="42"/>
        <v>248.75</v>
      </c>
      <c r="AF18" s="40">
        <f t="shared" si="42"/>
        <v>358.08333333333331</v>
      </c>
      <c r="AH18" s="40">
        <f t="shared" si="43"/>
        <v>4.0000000000020464E-2</v>
      </c>
      <c r="AI18" s="40">
        <f t="shared" si="43"/>
        <v>6.9999999999993179E-2</v>
      </c>
      <c r="AK18" s="130">
        <f t="shared" si="44"/>
        <v>14.73</v>
      </c>
      <c r="AL18" s="130">
        <f t="shared" si="44"/>
        <v>21.2</v>
      </c>
      <c r="AM18" s="40"/>
      <c r="AN18" s="40">
        <f t="shared" si="45"/>
        <v>101.46223999999998</v>
      </c>
      <c r="AO18" s="40">
        <f t="shared" si="46"/>
        <v>146.05112000000003</v>
      </c>
      <c r="AP18" s="40"/>
      <c r="AQ18" s="144">
        <f t="shared" si="47"/>
        <v>9.1999999999999998E-2</v>
      </c>
      <c r="AR18" s="144">
        <f t="shared" si="47"/>
        <v>9.1999999999999929E-2</v>
      </c>
      <c r="AS18" s="40"/>
      <c r="AT18" s="146">
        <f t="shared" si="48"/>
        <v>0.40783921537101042</v>
      </c>
      <c r="AU18" s="146">
        <f t="shared" si="48"/>
        <v>0.40780454570838226</v>
      </c>
      <c r="AV18" s="40"/>
      <c r="AW18" s="76">
        <f t="shared" si="49"/>
        <v>0.5</v>
      </c>
      <c r="AX18" s="76">
        <f t="shared" si="49"/>
        <v>0.5</v>
      </c>
      <c r="AY18" s="42"/>
      <c r="AZ18" s="42">
        <f t="shared" si="50"/>
        <v>124.34999999999998</v>
      </c>
      <c r="BA18" s="42">
        <f t="shared" si="50"/>
        <v>179</v>
      </c>
      <c r="BB18" s="42"/>
      <c r="BC18" s="76">
        <f t="shared" si="51"/>
        <v>0.49983921537101045</v>
      </c>
      <c r="BD18" s="76">
        <f t="shared" si="51"/>
        <v>0.49980454570838223</v>
      </c>
      <c r="BE18" s="42"/>
    </row>
    <row r="19" spans="1:57" x14ac:dyDescent="0.25">
      <c r="A19" t="s">
        <v>135</v>
      </c>
      <c r="D19" s="162">
        <v>132.74</v>
      </c>
      <c r="E19" s="162">
        <v>194.52</v>
      </c>
      <c r="F19" s="81"/>
      <c r="G19" s="153">
        <f t="shared" si="36"/>
        <v>157.16416000000001</v>
      </c>
      <c r="H19" s="153">
        <f t="shared" si="36"/>
        <v>230.31168</v>
      </c>
      <c r="J19" s="155">
        <f t="shared" si="37"/>
        <v>24.424160000000001</v>
      </c>
      <c r="K19" s="155">
        <f t="shared" si="37"/>
        <v>35.791679999999985</v>
      </c>
      <c r="M19" s="134">
        <f t="shared" si="52"/>
        <v>172.876</v>
      </c>
      <c r="N19" s="134">
        <f t="shared" si="52"/>
        <v>253.34100000000004</v>
      </c>
      <c r="P19" s="134">
        <f t="shared" si="38"/>
        <v>40.135999999999996</v>
      </c>
      <c r="Q19" s="134">
        <f t="shared" si="38"/>
        <v>58.821000000000026</v>
      </c>
      <c r="S19" s="141">
        <f t="shared" si="39"/>
        <v>0.10002280418130953</v>
      </c>
      <c r="T19" s="141">
        <f t="shared" si="39"/>
        <v>9.9994928611523315E-2</v>
      </c>
      <c r="V19" s="41">
        <f t="shared" si="40"/>
        <v>265.48</v>
      </c>
      <c r="W19" s="41">
        <f t="shared" si="40"/>
        <v>389.04</v>
      </c>
      <c r="Y19" s="41">
        <f t="shared" si="53"/>
        <v>318.58</v>
      </c>
      <c r="Z19" s="41">
        <f t="shared" si="53"/>
        <v>466.85</v>
      </c>
      <c r="AB19" s="182">
        <f t="shared" si="41"/>
        <v>318.5</v>
      </c>
      <c r="AC19" s="182">
        <f t="shared" si="41"/>
        <v>466.8</v>
      </c>
      <c r="AE19" s="40">
        <f t="shared" si="42"/>
        <v>265.41666666666669</v>
      </c>
      <c r="AF19" s="40">
        <f t="shared" si="42"/>
        <v>389</v>
      </c>
      <c r="AH19" s="40">
        <f t="shared" si="43"/>
        <v>7.9999999999984084E-2</v>
      </c>
      <c r="AI19" s="40">
        <f t="shared" si="43"/>
        <v>5.0000000000011369E-2</v>
      </c>
      <c r="AK19" s="130">
        <f t="shared" si="44"/>
        <v>15.72</v>
      </c>
      <c r="AL19" s="130">
        <f t="shared" si="44"/>
        <v>23.03</v>
      </c>
      <c r="AM19" s="40"/>
      <c r="AN19" s="40">
        <f t="shared" si="45"/>
        <v>108.23584000000002</v>
      </c>
      <c r="AO19" s="40">
        <f t="shared" si="46"/>
        <v>158.67832000000001</v>
      </c>
      <c r="AP19" s="40"/>
      <c r="AQ19" s="144">
        <f t="shared" si="47"/>
        <v>9.1999999999999998E-2</v>
      </c>
      <c r="AR19" s="144">
        <f t="shared" si="47"/>
        <v>9.1999999999999957E-2</v>
      </c>
      <c r="AS19" s="40"/>
      <c r="AT19" s="146">
        <f t="shared" si="48"/>
        <v>0.40769865903269553</v>
      </c>
      <c r="AU19" s="146">
        <f t="shared" si="48"/>
        <v>0.40787147851120709</v>
      </c>
      <c r="AV19" s="40"/>
      <c r="AW19" s="76">
        <f t="shared" si="49"/>
        <v>0.5</v>
      </c>
      <c r="AX19" s="76">
        <f t="shared" si="49"/>
        <v>0.5</v>
      </c>
      <c r="AY19" s="42"/>
      <c r="AZ19" s="42">
        <f t="shared" si="50"/>
        <v>132.66000000000003</v>
      </c>
      <c r="BA19" s="42">
        <f t="shared" si="50"/>
        <v>194.47</v>
      </c>
      <c r="BB19" s="42"/>
      <c r="BC19" s="76">
        <f t="shared" si="51"/>
        <v>0.49969865903269556</v>
      </c>
      <c r="BD19" s="76">
        <f t="shared" si="51"/>
        <v>0.49987147851120706</v>
      </c>
      <c r="BE19" s="42"/>
    </row>
    <row r="20" spans="1:57" x14ac:dyDescent="0.25">
      <c r="A20" t="s">
        <v>136</v>
      </c>
      <c r="D20" s="162">
        <v>143.9</v>
      </c>
      <c r="E20" s="162">
        <v>208.25</v>
      </c>
      <c r="F20" s="81"/>
      <c r="G20" s="153">
        <f t="shared" si="36"/>
        <v>170.3776</v>
      </c>
      <c r="H20" s="153">
        <f t="shared" si="36"/>
        <v>246.56799999999998</v>
      </c>
      <c r="J20" s="155">
        <f t="shared" si="37"/>
        <v>26.477599999999995</v>
      </c>
      <c r="K20" s="155">
        <f t="shared" si="37"/>
        <v>38.317999999999984</v>
      </c>
      <c r="M20" s="134">
        <f t="shared" si="52"/>
        <v>187.41800000000001</v>
      </c>
      <c r="N20" s="134">
        <f t="shared" si="52"/>
        <v>271.22700000000003</v>
      </c>
      <c r="P20" s="134">
        <f t="shared" si="38"/>
        <v>43.518000000000001</v>
      </c>
      <c r="Q20" s="134">
        <f t="shared" si="38"/>
        <v>62.977000000000032</v>
      </c>
      <c r="S20" s="141">
        <f t="shared" si="39"/>
        <v>0.10001314726818548</v>
      </c>
      <c r="T20" s="141">
        <f t="shared" si="39"/>
        <v>0.10001297816423868</v>
      </c>
      <c r="V20" s="41">
        <f t="shared" si="40"/>
        <v>287.8</v>
      </c>
      <c r="W20" s="41">
        <f t="shared" si="40"/>
        <v>416.5</v>
      </c>
      <c r="Y20" s="41">
        <f t="shared" si="53"/>
        <v>345.36</v>
      </c>
      <c r="Z20" s="41">
        <f t="shared" si="53"/>
        <v>499.8</v>
      </c>
      <c r="AB20" s="182">
        <f t="shared" si="41"/>
        <v>345.3</v>
      </c>
      <c r="AC20" s="182">
        <f t="shared" si="41"/>
        <v>499.8</v>
      </c>
      <c r="AE20" s="40">
        <f t="shared" si="42"/>
        <v>287.75</v>
      </c>
      <c r="AF20" s="40">
        <f t="shared" si="42"/>
        <v>416.5</v>
      </c>
      <c r="AH20" s="40">
        <f t="shared" si="43"/>
        <v>6.0000000000002274E-2</v>
      </c>
      <c r="AI20" s="40">
        <f t="shared" si="43"/>
        <v>0</v>
      </c>
      <c r="AK20" s="130">
        <f t="shared" si="44"/>
        <v>17.04</v>
      </c>
      <c r="AL20" s="130">
        <f t="shared" si="44"/>
        <v>24.66</v>
      </c>
      <c r="AM20" s="40"/>
      <c r="AN20" s="40">
        <f t="shared" si="45"/>
        <v>117.36240000000001</v>
      </c>
      <c r="AO20" s="40">
        <f t="shared" si="46"/>
        <v>169.93200000000002</v>
      </c>
      <c r="AP20" s="40"/>
      <c r="AQ20" s="144">
        <f t="shared" si="47"/>
        <v>9.1999999999999985E-2</v>
      </c>
      <c r="AR20" s="144">
        <f t="shared" si="47"/>
        <v>9.1999999999999957E-2</v>
      </c>
      <c r="AS20" s="40"/>
      <c r="AT20" s="146">
        <f t="shared" si="48"/>
        <v>0.40779152189020151</v>
      </c>
      <c r="AU20" s="146">
        <f t="shared" si="48"/>
        <v>0.40800000000000003</v>
      </c>
      <c r="AV20" s="40"/>
      <c r="AW20" s="76">
        <f t="shared" si="49"/>
        <v>0.5</v>
      </c>
      <c r="AX20" s="76">
        <f t="shared" si="49"/>
        <v>0.5</v>
      </c>
      <c r="AY20" s="42"/>
      <c r="AZ20" s="42">
        <f t="shared" si="50"/>
        <v>143.84</v>
      </c>
      <c r="BA20" s="42">
        <f t="shared" si="50"/>
        <v>208.25</v>
      </c>
      <c r="BB20" s="42"/>
      <c r="BC20" s="76">
        <f t="shared" si="51"/>
        <v>0.49979152189020154</v>
      </c>
      <c r="BD20" s="76">
        <f t="shared" si="51"/>
        <v>0.5</v>
      </c>
      <c r="BE20" s="42"/>
    </row>
    <row r="21" spans="1:57" x14ac:dyDescent="0.25">
      <c r="C21" s="104"/>
      <c r="D21" s="104"/>
      <c r="H21" s="40"/>
      <c r="I21" s="75"/>
      <c r="J21" s="75"/>
      <c r="K21" s="75"/>
      <c r="L21" s="75"/>
      <c r="V21" s="40"/>
      <c r="X21" s="41"/>
      <c r="Y21" s="40"/>
      <c r="Z21" s="40"/>
      <c r="AK21" s="76"/>
      <c r="AL21" s="76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76"/>
      <c r="AX21" s="76"/>
      <c r="AY21" s="42"/>
      <c r="AZ21" s="42"/>
      <c r="BA21" s="42"/>
      <c r="BB21" s="42"/>
      <c r="BC21" s="76"/>
      <c r="BD21" s="76"/>
      <c r="BE21" s="40"/>
    </row>
    <row r="22" spans="1:57" x14ac:dyDescent="0.25">
      <c r="A22" s="4" t="s">
        <v>139</v>
      </c>
      <c r="X22" s="41"/>
      <c r="Y22" s="40"/>
      <c r="Z22" s="40"/>
      <c r="AK22" s="76"/>
      <c r="AL22" s="76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76"/>
      <c r="AX22" s="76"/>
      <c r="AY22" s="42"/>
      <c r="AZ22" s="42"/>
      <c r="BA22" s="42"/>
      <c r="BB22" s="42"/>
      <c r="BC22" s="76"/>
      <c r="BD22" s="76"/>
      <c r="BE22" s="40"/>
    </row>
    <row r="23" spans="1:57" x14ac:dyDescent="0.25">
      <c r="A23" s="53"/>
      <c r="X23" s="41"/>
      <c r="Y23" s="40"/>
      <c r="Z23" s="40"/>
      <c r="AK23" s="76"/>
      <c r="AL23" s="76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76"/>
      <c r="AX23" s="76"/>
      <c r="AY23" s="42"/>
      <c r="AZ23" s="42"/>
      <c r="BA23" s="42"/>
      <c r="BB23" s="42"/>
      <c r="BC23" s="76"/>
      <c r="BD23" s="76"/>
      <c r="BE23" s="40"/>
    </row>
    <row r="24" spans="1:57" x14ac:dyDescent="0.25">
      <c r="A24" s="100" t="s">
        <v>132</v>
      </c>
      <c r="B24" s="52" t="s">
        <v>140</v>
      </c>
      <c r="D24" s="55" t="s">
        <v>141</v>
      </c>
      <c r="E24" s="55"/>
      <c r="F24" s="55"/>
    </row>
    <row r="25" spans="1:57" x14ac:dyDescent="0.25">
      <c r="A25" s="100" t="s">
        <v>137</v>
      </c>
      <c r="B25" s="52" t="s">
        <v>140</v>
      </c>
      <c r="F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</row>
    <row r="26" spans="1:57" x14ac:dyDescent="0.25">
      <c r="A26" s="100" t="s">
        <v>142</v>
      </c>
      <c r="B26" s="52" t="s">
        <v>140</v>
      </c>
      <c r="F26" s="40"/>
      <c r="G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</row>
    <row r="27" spans="1:57" x14ac:dyDescent="0.25">
      <c r="F27" s="40"/>
      <c r="G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</row>
    <row r="28" spans="1:57" ht="30" x14ac:dyDescent="0.25">
      <c r="A28" s="99" t="s">
        <v>143</v>
      </c>
      <c r="B28" s="52" t="s">
        <v>144</v>
      </c>
      <c r="F28" s="40"/>
      <c r="G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</row>
    <row r="29" spans="1:57" x14ac:dyDescent="0.25">
      <c r="G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</row>
    <row r="30" spans="1:57" ht="45" customHeight="1" x14ac:dyDescent="0.25">
      <c r="A30" s="159" t="s">
        <v>145</v>
      </c>
      <c r="B30" s="246" t="s">
        <v>146</v>
      </c>
      <c r="C30" s="246"/>
      <c r="D30" s="246"/>
      <c r="E30" s="246"/>
      <c r="F30" s="99"/>
      <c r="AA30" s="40"/>
      <c r="AB30" s="40"/>
      <c r="AC30" s="40"/>
      <c r="AD30" s="40"/>
      <c r="AE30" s="40"/>
      <c r="AF30" s="40"/>
      <c r="AG30" s="40"/>
      <c r="AH30" s="40"/>
      <c r="AI30" s="40"/>
      <c r="AJ30" s="40"/>
    </row>
    <row r="31" spans="1:57" ht="45" customHeight="1" x14ac:dyDescent="0.25">
      <c r="A31" s="159" t="s">
        <v>147</v>
      </c>
      <c r="B31" s="246" t="s">
        <v>148</v>
      </c>
      <c r="C31" s="246"/>
      <c r="D31" s="246"/>
      <c r="E31" s="246"/>
      <c r="F31" s="246"/>
      <c r="AA31" s="40"/>
      <c r="AB31" s="40"/>
      <c r="AC31" s="40"/>
      <c r="AD31" s="40"/>
      <c r="AE31" s="40"/>
      <c r="AF31" s="40"/>
      <c r="AG31" s="40"/>
      <c r="AH31" s="40"/>
      <c r="AI31" s="40"/>
      <c r="AJ31" s="40"/>
    </row>
    <row r="32" spans="1:57" x14ac:dyDescent="0.25"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</row>
    <row r="33" spans="1:57" x14ac:dyDescent="0.25">
      <c r="A33" s="100" t="s">
        <v>149</v>
      </c>
      <c r="B33" s="101" t="s">
        <v>150</v>
      </c>
      <c r="C33" s="52"/>
      <c r="AA33" s="40"/>
      <c r="AB33" s="40"/>
      <c r="AC33" s="40"/>
      <c r="AD33" s="40"/>
      <c r="AE33" s="40"/>
      <c r="AF33" s="40"/>
      <c r="AG33" s="40"/>
      <c r="AH33" s="40"/>
      <c r="AI33" s="40"/>
      <c r="AJ33" s="40"/>
    </row>
    <row r="34" spans="1:57" x14ac:dyDescent="0.25">
      <c r="A34" s="100" t="s">
        <v>151</v>
      </c>
      <c r="B34" s="101" t="s">
        <v>152</v>
      </c>
      <c r="C34" s="52"/>
    </row>
    <row r="35" spans="1:57" x14ac:dyDescent="0.25">
      <c r="A35" s="100" t="s">
        <v>153</v>
      </c>
      <c r="B35" s="101" t="s">
        <v>154</v>
      </c>
      <c r="C35" s="52"/>
    </row>
    <row r="36" spans="1:57" s="96" customFormat="1" ht="45" customHeight="1" x14ac:dyDescent="0.25">
      <c r="D36" s="244" t="s">
        <v>128</v>
      </c>
      <c r="E36" s="244"/>
      <c r="F36" s="95"/>
      <c r="G36" s="245" t="s">
        <v>3</v>
      </c>
      <c r="H36" s="245"/>
      <c r="I36" s="18"/>
      <c r="J36" s="245" t="s">
        <v>4</v>
      </c>
      <c r="K36" s="245"/>
      <c r="L36" s="18"/>
      <c r="M36" s="219" t="s">
        <v>5</v>
      </c>
      <c r="N36" s="219"/>
      <c r="O36" s="18"/>
      <c r="P36" s="219" t="s">
        <v>6</v>
      </c>
      <c r="Q36" s="219"/>
      <c r="R36" s="18"/>
      <c r="S36" s="219" t="s">
        <v>7</v>
      </c>
      <c r="T36" s="219"/>
      <c r="U36" s="18"/>
      <c r="V36" s="214" t="s">
        <v>8</v>
      </c>
      <c r="W36" s="214"/>
      <c r="X36" s="52"/>
      <c r="Y36" s="211" t="s">
        <v>9</v>
      </c>
      <c r="Z36" s="211"/>
      <c r="AA36" s="1"/>
      <c r="AB36" s="215" t="s">
        <v>10</v>
      </c>
      <c r="AC36" s="215"/>
      <c r="AD36" s="1"/>
      <c r="AE36" s="211" t="s">
        <v>11</v>
      </c>
      <c r="AF36" s="211"/>
      <c r="AG36" s="1"/>
      <c r="AH36" s="211" t="s">
        <v>12</v>
      </c>
      <c r="AI36" s="211"/>
      <c r="AJ36" s="1"/>
      <c r="AK36" s="211" t="s">
        <v>13</v>
      </c>
      <c r="AL36" s="211"/>
      <c r="AM36" s="1"/>
      <c r="AN36" s="211" t="s">
        <v>14</v>
      </c>
      <c r="AO36" s="211"/>
      <c r="AP36" s="1"/>
      <c r="AQ36" s="212" t="s">
        <v>15</v>
      </c>
      <c r="AR36" s="212"/>
      <c r="AS36" s="1"/>
      <c r="AT36" s="211" t="s">
        <v>16</v>
      </c>
      <c r="AU36" s="211"/>
      <c r="AV36" s="1"/>
      <c r="AW36" s="213" t="s">
        <v>17</v>
      </c>
      <c r="AX36" s="213"/>
      <c r="AY36" s="1"/>
      <c r="AZ36" s="213" t="s">
        <v>18</v>
      </c>
      <c r="BA36" s="213"/>
      <c r="BB36" s="1"/>
      <c r="BC36" s="213" t="s">
        <v>129</v>
      </c>
      <c r="BD36" s="213"/>
      <c r="BE36" s="1"/>
    </row>
    <row r="37" spans="1:57" s="96" customFormat="1" ht="45" customHeight="1" x14ac:dyDescent="0.25">
      <c r="D37" s="195" t="s">
        <v>130</v>
      </c>
      <c r="E37" s="147" t="s">
        <v>131</v>
      </c>
      <c r="F37" s="35"/>
      <c r="G37" s="151" t="s">
        <v>130</v>
      </c>
      <c r="H37" s="152" t="s">
        <v>131</v>
      </c>
      <c r="I37" s="52"/>
      <c r="J37" s="151" t="s">
        <v>130</v>
      </c>
      <c r="K37" s="152" t="s">
        <v>131</v>
      </c>
      <c r="L37" s="52"/>
      <c r="M37" s="132" t="s">
        <v>130</v>
      </c>
      <c r="N37" s="133" t="s">
        <v>131</v>
      </c>
      <c r="O37" s="52"/>
      <c r="P37" s="132" t="s">
        <v>130</v>
      </c>
      <c r="Q37" s="133" t="s">
        <v>131</v>
      </c>
      <c r="R37" s="52"/>
      <c r="S37" s="132" t="s">
        <v>130</v>
      </c>
      <c r="T37" s="133" t="s">
        <v>131</v>
      </c>
      <c r="U37" s="52"/>
      <c r="V37" s="96" t="s">
        <v>130</v>
      </c>
      <c r="W37" s="95" t="s">
        <v>131</v>
      </c>
      <c r="X37" s="52"/>
      <c r="Y37" s="96" t="s">
        <v>130</v>
      </c>
      <c r="Z37" s="95" t="s">
        <v>131</v>
      </c>
      <c r="AA37" s="52"/>
      <c r="AB37" s="96" t="s">
        <v>130</v>
      </c>
      <c r="AC37" s="95" t="s">
        <v>131</v>
      </c>
      <c r="AD37" s="52"/>
      <c r="AE37" s="96" t="s">
        <v>130</v>
      </c>
      <c r="AF37" s="95" t="s">
        <v>131</v>
      </c>
      <c r="AG37" s="34"/>
      <c r="AH37" s="96" t="s">
        <v>130</v>
      </c>
      <c r="AI37" s="95" t="s">
        <v>131</v>
      </c>
      <c r="AJ37" s="52"/>
      <c r="AK37" s="128" t="s">
        <v>130</v>
      </c>
      <c r="AL37" s="129" t="s">
        <v>131</v>
      </c>
      <c r="AM37" s="52"/>
      <c r="AN37" s="96" t="s">
        <v>130</v>
      </c>
      <c r="AO37" s="95" t="s">
        <v>131</v>
      </c>
      <c r="AP37" s="52"/>
      <c r="AQ37" s="196" t="s">
        <v>130</v>
      </c>
      <c r="AR37" s="142" t="s">
        <v>131</v>
      </c>
      <c r="AS37" s="52"/>
      <c r="AT37" s="197" t="s">
        <v>130</v>
      </c>
      <c r="AU37" s="129" t="s">
        <v>131</v>
      </c>
      <c r="AV37" s="52"/>
      <c r="AW37" s="96" t="s">
        <v>130</v>
      </c>
      <c r="AX37" s="95" t="s">
        <v>131</v>
      </c>
      <c r="AY37" s="52"/>
      <c r="AZ37" s="96" t="s">
        <v>130</v>
      </c>
      <c r="BA37" s="95" t="s">
        <v>131</v>
      </c>
      <c r="BB37" s="52"/>
      <c r="BC37" s="139" t="s">
        <v>130</v>
      </c>
      <c r="BD37" s="95" t="s">
        <v>131</v>
      </c>
      <c r="BE37" s="1"/>
    </row>
    <row r="38" spans="1:57" x14ac:dyDescent="0.25">
      <c r="A38" s="1" t="s">
        <v>85</v>
      </c>
      <c r="B38" s="45"/>
      <c r="D38" s="162">
        <v>2.04</v>
      </c>
      <c r="E38" s="162">
        <v>4.08</v>
      </c>
      <c r="F38" s="81"/>
      <c r="G38" s="153">
        <f>D38*SUM(1+$G$1/$Y$1)</f>
        <v>2.4153599999999997</v>
      </c>
      <c r="H38" s="153">
        <f>E38*SUM(1+$G$1/$Y$1)</f>
        <v>4.8307199999999995</v>
      </c>
      <c r="J38" s="155">
        <f t="shared" ref="J38:K38" si="54">G38-D38</f>
        <v>0.37535999999999969</v>
      </c>
      <c r="K38" s="155">
        <f t="shared" si="54"/>
        <v>0.75071999999999939</v>
      </c>
      <c r="L38" s="41"/>
      <c r="M38" s="161">
        <f t="shared" ref="M38:N38" si="55">ROUND(D38*(1+$G$1*2),2)*SUM(1+$M$1)</f>
        <v>2.6619999999999999</v>
      </c>
      <c r="N38" s="161">
        <f t="shared" si="55"/>
        <v>5.3130000000000006</v>
      </c>
      <c r="P38" s="134">
        <f t="shared" ref="P38:Q40" si="56">M38-D38</f>
        <v>0.62199999999999989</v>
      </c>
      <c r="Q38" s="134">
        <f t="shared" si="56"/>
        <v>1.2330000000000005</v>
      </c>
      <c r="S38" s="141">
        <f>AK38/G38</f>
        <v>9.9364069952305248E-2</v>
      </c>
      <c r="T38" s="141">
        <f>AL38/H38</f>
        <v>9.9364069952305248E-2</v>
      </c>
      <c r="V38" s="41">
        <f>SUM(D38/(1-$Y$1))</f>
        <v>4.08</v>
      </c>
      <c r="W38" s="41">
        <f>SUM(E38/(1-$Y$1))</f>
        <v>8.16</v>
      </c>
      <c r="Y38" s="41">
        <f t="shared" ref="Y38:Z38" si="57">ROUND(D38/(1-$Y$1)*1.2,2)</f>
        <v>4.9000000000000004</v>
      </c>
      <c r="Z38" s="41">
        <f t="shared" si="57"/>
        <v>9.7899999999999991</v>
      </c>
      <c r="AB38" s="182">
        <f t="shared" ref="AB38:AC40" si="58">ROUNDDOWN(D38/(1-$Y$1)*1.2,1)</f>
        <v>4.8</v>
      </c>
      <c r="AC38" s="182">
        <f t="shared" si="58"/>
        <v>9.6999999999999993</v>
      </c>
      <c r="AE38" s="40">
        <f t="shared" ref="AE38:AF40" si="59">AB38/1.2</f>
        <v>4</v>
      </c>
      <c r="AF38" s="40">
        <f t="shared" si="59"/>
        <v>8.0833333333333339</v>
      </c>
      <c r="AH38" s="40">
        <f t="shared" ref="AH38:AI40" si="60">Y38-AB38</f>
        <v>0.10000000000000053</v>
      </c>
      <c r="AI38" s="40">
        <f t="shared" si="60"/>
        <v>8.9999999999999858E-2</v>
      </c>
      <c r="AK38" s="130">
        <f>ROUND(M38*(1-(1/(1+$AL$1))),2)</f>
        <v>0.24</v>
      </c>
      <c r="AL38" s="130">
        <f>ROUND(N38*(1-(1/(1+$AL$1))),2)</f>
        <v>0.48</v>
      </c>
      <c r="AM38" s="40"/>
      <c r="AN38" s="40">
        <f t="shared" ref="AN38:AN40" si="61">SUM(V38-G38)-AH38</f>
        <v>1.5646399999999998</v>
      </c>
      <c r="AO38" s="40">
        <f t="shared" ref="AO38:AO40" si="62">SUM(W38-H38)-AI38</f>
        <v>3.2392800000000008</v>
      </c>
      <c r="AP38" s="40"/>
      <c r="AQ38" s="144">
        <f>(SUM(G38-D38)/D38*$Y$1)</f>
        <v>9.1999999999999929E-2</v>
      </c>
      <c r="AR38" s="144">
        <f>(SUM(H38-E38)/E38*$Y$1)</f>
        <v>9.1999999999999929E-2</v>
      </c>
      <c r="AS38" s="40"/>
      <c r="AT38" s="146">
        <f>AN38/V38</f>
        <v>0.38349019607843132</v>
      </c>
      <c r="AU38" s="146">
        <f>AO38/W38</f>
        <v>0.39697058823529419</v>
      </c>
      <c r="AV38" s="40"/>
      <c r="AW38" s="76">
        <f>D38/V38</f>
        <v>0.5</v>
      </c>
      <c r="AX38" s="76">
        <f>E38/W38</f>
        <v>0.5</v>
      </c>
      <c r="AY38" s="42"/>
      <c r="AZ38" s="42">
        <f>J38+AN38</f>
        <v>1.9399999999999995</v>
      </c>
      <c r="BA38" s="42">
        <f>K38+AO38</f>
        <v>3.99</v>
      </c>
      <c r="BB38" s="42"/>
      <c r="BC38" s="76">
        <f>AZ38/(D38/$Y$1)</f>
        <v>0.47549019607843124</v>
      </c>
      <c r="BD38" s="76">
        <f>BA38/(E38/$Y$1)</f>
        <v>0.48897058823529416</v>
      </c>
      <c r="BE38" s="42"/>
    </row>
    <row r="39" spans="1:57" x14ac:dyDescent="0.25">
      <c r="B39" s="45"/>
      <c r="D39" s="149"/>
      <c r="E39" s="149"/>
      <c r="F39" s="81"/>
      <c r="G39" s="153"/>
      <c r="H39" s="153"/>
      <c r="J39" s="155"/>
      <c r="K39" s="155"/>
      <c r="L39" s="41"/>
      <c r="M39" s="161"/>
      <c r="N39" s="161"/>
      <c r="P39" s="134"/>
      <c r="Q39" s="134"/>
      <c r="S39" s="141"/>
      <c r="T39" s="141"/>
      <c r="V39" s="41"/>
      <c r="W39" s="41"/>
      <c r="Y39" s="41"/>
      <c r="Z39" s="41"/>
      <c r="AB39" s="182"/>
      <c r="AC39" s="182"/>
      <c r="AE39" s="40"/>
      <c r="AF39" s="40"/>
      <c r="AH39" s="40"/>
      <c r="AI39" s="40"/>
      <c r="AK39" s="130"/>
      <c r="AL39" s="130"/>
      <c r="AM39" s="40"/>
      <c r="AN39" s="40"/>
      <c r="AO39" s="40"/>
      <c r="AP39" s="40"/>
      <c r="AQ39" s="144"/>
      <c r="AR39" s="144"/>
      <c r="AS39" s="40"/>
      <c r="AT39" s="146"/>
      <c r="AU39" s="146"/>
      <c r="AV39" s="40"/>
      <c r="AW39" s="76"/>
      <c r="AX39" s="76"/>
      <c r="AY39" s="42"/>
      <c r="AZ39" s="42"/>
      <c r="BA39" s="42"/>
      <c r="BB39" s="42"/>
      <c r="BC39" s="76"/>
      <c r="BD39" s="76"/>
      <c r="BE39" s="42"/>
    </row>
    <row r="40" spans="1:57" ht="39.950000000000003" customHeight="1" x14ac:dyDescent="0.25">
      <c r="A40" s="247" t="s">
        <v>63</v>
      </c>
      <c r="B40" s="247"/>
      <c r="C40" s="247"/>
      <c r="D40" s="162">
        <v>16.97</v>
      </c>
      <c r="E40" s="162">
        <v>16.97</v>
      </c>
      <c r="F40" s="81"/>
      <c r="G40" s="153">
        <f>D40*SUM(1+$G$1/$Y$1)</f>
        <v>20.092479999999998</v>
      </c>
      <c r="H40" s="153">
        <f>E40*SUM(1+$G$1/$Y$1)</f>
        <v>20.092479999999998</v>
      </c>
      <c r="J40" s="155">
        <f t="shared" ref="J40:K40" si="63">G40-D40</f>
        <v>3.1224799999999995</v>
      </c>
      <c r="K40" s="155">
        <f t="shared" si="63"/>
        <v>3.1224799999999995</v>
      </c>
      <c r="L40" s="41"/>
      <c r="M40" s="161">
        <f t="shared" ref="M40:N40" si="64">ROUND(D40*(1+$G$1*2),2)*SUM(1+$M$1)</f>
        <v>22.099</v>
      </c>
      <c r="N40" s="161">
        <f t="shared" si="64"/>
        <v>22.099</v>
      </c>
      <c r="P40" s="134">
        <f t="shared" si="56"/>
        <v>5.1290000000000013</v>
      </c>
      <c r="Q40" s="134">
        <f t="shared" si="56"/>
        <v>5.1290000000000013</v>
      </c>
      <c r="S40" s="141">
        <f>AK40/G40</f>
        <v>0.10003742693783943</v>
      </c>
      <c r="T40" s="141">
        <f>AL40/H40</f>
        <v>0.10003742693783943</v>
      </c>
      <c r="V40" s="41">
        <f>SUM(D40/(1-$Y$1))</f>
        <v>33.94</v>
      </c>
      <c r="W40" s="41">
        <f>SUM(E40/(1-$Y$1))</f>
        <v>33.94</v>
      </c>
      <c r="Y40" s="41">
        <f t="shared" ref="Y40:Z40" si="65">ROUND(D40/(1-$Y$1)*1.2,2)</f>
        <v>40.729999999999997</v>
      </c>
      <c r="Z40" s="41">
        <f t="shared" si="65"/>
        <v>40.729999999999997</v>
      </c>
      <c r="AB40" s="182">
        <f t="shared" si="58"/>
        <v>40.700000000000003</v>
      </c>
      <c r="AC40" s="182">
        <f t="shared" si="58"/>
        <v>40.700000000000003</v>
      </c>
      <c r="AE40" s="40">
        <f t="shared" si="59"/>
        <v>33.916666666666671</v>
      </c>
      <c r="AF40" s="40">
        <f t="shared" si="59"/>
        <v>33.916666666666671</v>
      </c>
      <c r="AH40" s="40">
        <f t="shared" si="60"/>
        <v>2.9999999999994031E-2</v>
      </c>
      <c r="AI40" s="40">
        <f t="shared" si="60"/>
        <v>2.9999999999994031E-2</v>
      </c>
      <c r="AK40" s="130">
        <f t="shared" ref="AK40" si="66">ROUND(M40*(1-(1/(1+$AL$1))),2)</f>
        <v>2.0099999999999998</v>
      </c>
      <c r="AL40" s="130">
        <f>ROUND(N40*(1-(1/(1+$AL$1))),2)</f>
        <v>2.0099999999999998</v>
      </c>
      <c r="AM40" s="40"/>
      <c r="AN40" s="40">
        <f t="shared" si="61"/>
        <v>13.817520000000005</v>
      </c>
      <c r="AO40" s="40">
        <f t="shared" si="62"/>
        <v>13.817520000000005</v>
      </c>
      <c r="AP40" s="40"/>
      <c r="AQ40" s="144">
        <f>(SUM(G40-D40)/D40*$Y$1)</f>
        <v>9.1999999999999985E-2</v>
      </c>
      <c r="AR40" s="144">
        <f>(SUM(H40-E40)/E40*$Y$1)</f>
        <v>9.1999999999999985E-2</v>
      </c>
      <c r="AS40" s="40"/>
      <c r="AT40" s="146">
        <f>AN40/V40</f>
        <v>0.40711608721272852</v>
      </c>
      <c r="AU40" s="146">
        <f>AO40/W40</f>
        <v>0.40711608721272852</v>
      </c>
      <c r="AV40" s="40"/>
      <c r="AW40" s="76">
        <f>D40/V40</f>
        <v>0.5</v>
      </c>
      <c r="AX40" s="76">
        <f>E40/W40</f>
        <v>0.5</v>
      </c>
      <c r="AY40" s="42"/>
      <c r="AZ40" s="42">
        <f>J40+AN40</f>
        <v>16.940000000000005</v>
      </c>
      <c r="BA40" s="42">
        <f>K40+AO40</f>
        <v>16.940000000000005</v>
      </c>
      <c r="BB40" s="42"/>
      <c r="BC40" s="76">
        <f>AZ40/(D40/$Y$1)</f>
        <v>0.49911608721272854</v>
      </c>
      <c r="BD40" s="76">
        <f>BA40/(E40/$Y$1)</f>
        <v>0.49911608721272854</v>
      </c>
      <c r="BE40" s="42"/>
    </row>
    <row r="41" spans="1:57" x14ac:dyDescent="0.25">
      <c r="A41" s="52"/>
      <c r="B41" s="52"/>
      <c r="C41" s="98"/>
      <c r="D41" s="52"/>
      <c r="E41" s="52"/>
      <c r="F41" s="40"/>
    </row>
    <row r="42" spans="1:57" x14ac:dyDescent="0.25">
      <c r="A42" s="45" t="s">
        <v>64</v>
      </c>
      <c r="B42" s="45" t="s">
        <v>65</v>
      </c>
      <c r="C42" s="45" t="s">
        <v>92</v>
      </c>
    </row>
    <row r="43" spans="1:57" s="122" customFormat="1" ht="30" customHeight="1" x14ac:dyDescent="0.25">
      <c r="A43" s="120"/>
      <c r="B43" s="121" t="s">
        <v>67</v>
      </c>
      <c r="C43" s="248" t="s">
        <v>93</v>
      </c>
      <c r="D43" s="248"/>
      <c r="E43" s="248"/>
      <c r="F43" s="248"/>
      <c r="G43" s="248"/>
      <c r="H43" s="248"/>
      <c r="I43" s="248"/>
      <c r="J43" s="248"/>
      <c r="K43" s="248"/>
      <c r="L43" s="248"/>
      <c r="M43" s="248"/>
    </row>
    <row r="44" spans="1:57" s="122" customFormat="1" ht="30" customHeight="1" x14ac:dyDescent="0.25">
      <c r="A44" s="120"/>
      <c r="B44" s="121"/>
      <c r="C44" s="248"/>
      <c r="D44" s="248"/>
      <c r="E44" s="248"/>
      <c r="F44" s="248"/>
      <c r="G44" s="248"/>
      <c r="H44" s="248"/>
      <c r="I44" s="248"/>
      <c r="J44" s="248"/>
      <c r="K44" s="248"/>
      <c r="L44" s="248"/>
      <c r="M44" s="248"/>
    </row>
    <row r="45" spans="1:57" x14ac:dyDescent="0.25">
      <c r="B45" s="45" t="s">
        <v>69</v>
      </c>
      <c r="C45" s="45" t="s">
        <v>70</v>
      </c>
      <c r="G45" s="40"/>
    </row>
    <row r="46" spans="1:57" x14ac:dyDescent="0.25">
      <c r="B46" s="45" t="s">
        <v>71</v>
      </c>
      <c r="C46" s="45" t="s">
        <v>72</v>
      </c>
      <c r="G46" s="40"/>
    </row>
    <row r="47" spans="1:57" x14ac:dyDescent="0.25">
      <c r="A47" s="52"/>
      <c r="B47" s="52"/>
      <c r="C47" s="98"/>
      <c r="D47" s="52"/>
      <c r="E47" s="52"/>
      <c r="F47" s="40"/>
    </row>
    <row r="48" spans="1:57" x14ac:dyDescent="0.25">
      <c r="A48" s="46" t="s">
        <v>73</v>
      </c>
      <c r="B48" s="1" t="s">
        <v>74</v>
      </c>
      <c r="C48" s="46" t="s">
        <v>75</v>
      </c>
      <c r="D48" s="25"/>
      <c r="F48" s="47"/>
    </row>
    <row r="49" spans="1:12" x14ac:dyDescent="0.25">
      <c r="A49" s="25"/>
      <c r="B49" s="1" t="s">
        <v>76</v>
      </c>
      <c r="C49" s="47" t="s">
        <v>77</v>
      </c>
      <c r="D49" s="25"/>
      <c r="F49" s="47"/>
    </row>
    <row r="50" spans="1:12" x14ac:dyDescent="0.25">
      <c r="A50" s="25"/>
      <c r="B50" s="1" t="s">
        <v>78</v>
      </c>
      <c r="C50" s="47" t="s">
        <v>79</v>
      </c>
      <c r="D50" s="25"/>
      <c r="F50" s="47"/>
    </row>
    <row r="51" spans="1:12" x14ac:dyDescent="0.25">
      <c r="A51" s="25"/>
      <c r="B51" s="1" t="s">
        <v>80</v>
      </c>
      <c r="C51" s="47" t="s">
        <v>81</v>
      </c>
      <c r="D51" s="25"/>
      <c r="F51" s="47"/>
    </row>
    <row r="52" spans="1:12" x14ac:dyDescent="0.25">
      <c r="F52" s="52"/>
      <c r="G52" s="52"/>
      <c r="H52" s="52"/>
      <c r="I52" s="52"/>
      <c r="J52" s="52"/>
      <c r="K52" s="52"/>
      <c r="L52" s="52"/>
    </row>
    <row r="53" spans="1:12" x14ac:dyDescent="0.25">
      <c r="A53" s="1" t="s">
        <v>82</v>
      </c>
      <c r="C53" s="1" t="s">
        <v>83</v>
      </c>
      <c r="F53" s="99"/>
      <c r="G53" s="99"/>
      <c r="H53" s="99"/>
      <c r="I53" s="99"/>
      <c r="J53" s="99"/>
      <c r="K53" s="99"/>
      <c r="L53" s="99"/>
    </row>
    <row r="54" spans="1:12" x14ac:dyDescent="0.25">
      <c r="A54" s="99"/>
      <c r="F54" s="99"/>
      <c r="G54" s="99"/>
      <c r="H54" s="99"/>
      <c r="I54" s="99"/>
      <c r="J54" s="99"/>
      <c r="K54" s="99"/>
      <c r="L54" s="99"/>
    </row>
    <row r="55" spans="1:12" x14ac:dyDescent="0.25">
      <c r="A55" s="52" t="s">
        <v>84</v>
      </c>
      <c r="B55" s="52"/>
      <c r="C55" s="52"/>
      <c r="D55" s="52"/>
      <c r="E55" s="52"/>
      <c r="F55" s="99"/>
      <c r="G55" s="99"/>
      <c r="H55" s="99"/>
      <c r="I55" s="99"/>
      <c r="J55" s="99"/>
      <c r="K55" s="99"/>
      <c r="L55" s="99"/>
    </row>
  </sheetData>
  <mergeCells count="40">
    <mergeCell ref="AZ36:BA36"/>
    <mergeCell ref="BC36:BD36"/>
    <mergeCell ref="A40:C40"/>
    <mergeCell ref="C43:M44"/>
    <mergeCell ref="AH36:AI36"/>
    <mergeCell ref="AK36:AL36"/>
    <mergeCell ref="AN36:AO36"/>
    <mergeCell ref="AQ36:AR36"/>
    <mergeCell ref="AT36:AU36"/>
    <mergeCell ref="AW36:AX36"/>
    <mergeCell ref="P36:Q36"/>
    <mergeCell ref="S36:T36"/>
    <mergeCell ref="V36:W36"/>
    <mergeCell ref="Y36:Z36"/>
    <mergeCell ref="AB36:AC36"/>
    <mergeCell ref="AE36:AF36"/>
    <mergeCell ref="B30:E30"/>
    <mergeCell ref="B31:F31"/>
    <mergeCell ref="D36:E36"/>
    <mergeCell ref="G36:H36"/>
    <mergeCell ref="J36:K36"/>
    <mergeCell ref="M36:N36"/>
    <mergeCell ref="AN2:AO2"/>
    <mergeCell ref="AQ2:AR2"/>
    <mergeCell ref="AT2:AU2"/>
    <mergeCell ref="AW2:AX2"/>
    <mergeCell ref="S2:T2"/>
    <mergeCell ref="AZ2:BA2"/>
    <mergeCell ref="BC2:BD2"/>
    <mergeCell ref="V2:W2"/>
    <mergeCell ref="Y2:Z2"/>
    <mergeCell ref="AB2:AC2"/>
    <mergeCell ref="AE2:AF2"/>
    <mergeCell ref="AH2:AI2"/>
    <mergeCell ref="AK2:AL2"/>
    <mergeCell ref="D2:E2"/>
    <mergeCell ref="G2:H2"/>
    <mergeCell ref="J2:K2"/>
    <mergeCell ref="M2:N2"/>
    <mergeCell ref="P2:Q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B2E24-526B-4990-9821-9070FD362E12}">
  <sheetPr>
    <tabColor theme="3" tint="-0.249977111117893"/>
  </sheetPr>
  <dimension ref="A1:BE55"/>
  <sheetViews>
    <sheetView zoomScale="85" zoomScaleNormal="8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P28" sqref="P28"/>
    </sheetView>
  </sheetViews>
  <sheetFormatPr defaultColWidth="8.85546875" defaultRowHeight="15" x14ac:dyDescent="0.25"/>
  <cols>
    <col min="1" max="1" width="27" style="1" customWidth="1"/>
    <col min="2" max="2" width="8.85546875" style="1" customWidth="1"/>
    <col min="3" max="3" width="32.140625" style="1" customWidth="1"/>
    <col min="4" max="5" width="10" style="1" customWidth="1"/>
    <col min="6" max="6" width="3.7109375" style="1" customWidth="1"/>
    <col min="7" max="8" width="9.7109375" style="1" customWidth="1"/>
    <col min="9" max="9" width="3.7109375" style="1" customWidth="1"/>
    <col min="10" max="11" width="9.7109375" style="1" customWidth="1"/>
    <col min="12" max="12" width="3.7109375" style="1" customWidth="1"/>
    <col min="13" max="13" width="13" style="1" customWidth="1"/>
    <col min="14" max="14" width="11.85546875" style="1" bestFit="1" customWidth="1"/>
    <col min="15" max="15" width="3.7109375" style="1" customWidth="1"/>
    <col min="16" max="17" width="9.7109375" style="1" customWidth="1"/>
    <col min="18" max="18" width="3.7109375" style="1" customWidth="1"/>
    <col min="19" max="20" width="9.7109375" style="1" customWidth="1"/>
    <col min="21" max="21" width="5.140625" style="1" customWidth="1"/>
    <col min="22" max="22" width="12.42578125" style="1" customWidth="1"/>
    <col min="23" max="23" width="11.85546875" style="1" customWidth="1"/>
    <col min="24" max="24" width="6.140625" style="1" customWidth="1"/>
    <col min="25" max="25" width="12.42578125" style="1" customWidth="1"/>
    <col min="26" max="26" width="11.85546875" style="1" customWidth="1"/>
    <col min="27" max="27" width="3.7109375" style="1" customWidth="1"/>
    <col min="28" max="29" width="9.7109375" style="1" customWidth="1"/>
    <col min="30" max="30" width="3.7109375" style="1" customWidth="1"/>
    <col min="31" max="32" width="9.7109375" style="1" customWidth="1"/>
    <col min="33" max="33" width="3.7109375" style="1" customWidth="1"/>
    <col min="34" max="35" width="9.7109375" style="1" customWidth="1"/>
    <col min="36" max="36" width="3.7109375" style="1" customWidth="1"/>
    <col min="37" max="38" width="9.7109375" style="1" customWidth="1"/>
    <col min="39" max="39" width="3.7109375" style="1" customWidth="1"/>
    <col min="40" max="41" width="9.7109375" style="1" customWidth="1"/>
    <col min="42" max="42" width="3.7109375" style="1" customWidth="1"/>
    <col min="43" max="44" width="9.7109375" style="1" customWidth="1"/>
    <col min="45" max="45" width="3.7109375" style="1" customWidth="1"/>
    <col min="46" max="47" width="9.7109375" style="1" customWidth="1"/>
    <col min="48" max="48" width="3.7109375" style="1" customWidth="1"/>
    <col min="49" max="50" width="9.7109375" style="1" customWidth="1"/>
    <col min="51" max="51" width="3.7109375" style="1" customWidth="1"/>
    <col min="52" max="53" width="9.7109375" style="1" customWidth="1"/>
    <col min="54" max="54" width="3.7109375" style="1" customWidth="1"/>
    <col min="55" max="55" width="11.85546875" style="1" customWidth="1"/>
    <col min="56" max="56" width="10.42578125" style="1" customWidth="1"/>
    <col min="57" max="57" width="8.140625" style="1" customWidth="1"/>
    <col min="58" max="16384" width="8.85546875" style="1"/>
  </cols>
  <sheetData>
    <row r="1" spans="1:57" ht="15" customHeight="1" thickBot="1" x14ac:dyDescent="0.3">
      <c r="A1" s="184" t="s">
        <v>90</v>
      </c>
      <c r="C1" s="171" t="s">
        <v>0</v>
      </c>
      <c r="D1" s="185">
        <v>7.7499999999999999E-2</v>
      </c>
      <c r="E1" s="18"/>
      <c r="F1" s="18"/>
      <c r="G1" s="179">
        <v>9.1999999999999998E-2</v>
      </c>
      <c r="H1" s="170" t="s">
        <v>1</v>
      </c>
      <c r="I1" s="18"/>
      <c r="J1" s="18"/>
      <c r="K1" s="18"/>
      <c r="L1" s="18"/>
      <c r="M1" s="92">
        <v>0.1</v>
      </c>
      <c r="N1" s="18"/>
      <c r="O1" s="18"/>
      <c r="P1" s="18"/>
      <c r="Q1" s="18"/>
      <c r="R1" s="18"/>
      <c r="S1" s="18"/>
      <c r="T1" s="18"/>
      <c r="U1" s="18"/>
      <c r="V1" s="92"/>
      <c r="W1" s="18"/>
      <c r="X1" s="92"/>
      <c r="Y1" s="91">
        <v>0.5</v>
      </c>
      <c r="Z1" s="18"/>
      <c r="AL1" s="83">
        <v>0.1</v>
      </c>
    </row>
    <row r="2" spans="1:57" ht="48" customHeight="1" x14ac:dyDescent="0.25">
      <c r="A2" s="4"/>
      <c r="D2" s="244" t="s">
        <v>128</v>
      </c>
      <c r="E2" s="244"/>
      <c r="F2" s="95"/>
      <c r="G2" s="245" t="s">
        <v>3</v>
      </c>
      <c r="H2" s="245"/>
      <c r="I2" s="18"/>
      <c r="J2" s="245" t="s">
        <v>4</v>
      </c>
      <c r="K2" s="245"/>
      <c r="L2" s="18"/>
      <c r="M2" s="219" t="s">
        <v>5</v>
      </c>
      <c r="N2" s="219"/>
      <c r="O2" s="18"/>
      <c r="P2" s="219" t="s">
        <v>6</v>
      </c>
      <c r="Q2" s="219"/>
      <c r="R2" s="18"/>
      <c r="S2" s="219" t="s">
        <v>7</v>
      </c>
      <c r="T2" s="219"/>
      <c r="U2" s="18"/>
      <c r="V2" s="214" t="s">
        <v>8</v>
      </c>
      <c r="W2" s="214"/>
      <c r="X2" s="52"/>
      <c r="Y2" s="211" t="s">
        <v>9</v>
      </c>
      <c r="Z2" s="211"/>
      <c r="AB2" s="215" t="s">
        <v>10</v>
      </c>
      <c r="AC2" s="215"/>
      <c r="AE2" s="211" t="s">
        <v>11</v>
      </c>
      <c r="AF2" s="211"/>
      <c r="AH2" s="211" t="s">
        <v>12</v>
      </c>
      <c r="AI2" s="211"/>
      <c r="AK2" s="211" t="s">
        <v>13</v>
      </c>
      <c r="AL2" s="211"/>
      <c r="AN2" s="211" t="s">
        <v>14</v>
      </c>
      <c r="AO2" s="211"/>
      <c r="AQ2" s="212" t="s">
        <v>15</v>
      </c>
      <c r="AR2" s="212"/>
      <c r="AT2" s="211" t="s">
        <v>16</v>
      </c>
      <c r="AU2" s="211"/>
      <c r="AW2" s="213" t="s">
        <v>17</v>
      </c>
      <c r="AX2" s="213"/>
      <c r="AZ2" s="213" t="s">
        <v>18</v>
      </c>
      <c r="BA2" s="213"/>
      <c r="BC2" s="213" t="s">
        <v>129</v>
      </c>
      <c r="BD2" s="213"/>
    </row>
    <row r="3" spans="1:57" s="52" customFormat="1" ht="60" customHeight="1" x14ac:dyDescent="0.25">
      <c r="A3" s="97"/>
      <c r="D3" s="195" t="s">
        <v>130</v>
      </c>
      <c r="E3" s="147" t="s">
        <v>131</v>
      </c>
      <c r="F3" s="35"/>
      <c r="G3" s="151" t="s">
        <v>130</v>
      </c>
      <c r="H3" s="152" t="s">
        <v>131</v>
      </c>
      <c r="J3" s="151" t="s">
        <v>130</v>
      </c>
      <c r="K3" s="152" t="s">
        <v>131</v>
      </c>
      <c r="M3" s="132" t="s">
        <v>130</v>
      </c>
      <c r="N3" s="133" t="s">
        <v>131</v>
      </c>
      <c r="P3" s="132" t="s">
        <v>130</v>
      </c>
      <c r="Q3" s="133" t="s">
        <v>131</v>
      </c>
      <c r="S3" s="132" t="s">
        <v>130</v>
      </c>
      <c r="T3" s="133" t="s">
        <v>131</v>
      </c>
      <c r="V3" s="96" t="s">
        <v>130</v>
      </c>
      <c r="W3" s="95" t="s">
        <v>131</v>
      </c>
      <c r="Y3" s="96" t="s">
        <v>130</v>
      </c>
      <c r="Z3" s="95" t="s">
        <v>131</v>
      </c>
      <c r="AB3" s="96" t="s">
        <v>130</v>
      </c>
      <c r="AC3" s="95" t="s">
        <v>131</v>
      </c>
      <c r="AE3" s="96" t="s">
        <v>130</v>
      </c>
      <c r="AF3" s="95" t="s">
        <v>131</v>
      </c>
      <c r="AG3" s="34"/>
      <c r="AH3" s="96" t="s">
        <v>130</v>
      </c>
      <c r="AI3" s="95" t="s">
        <v>131</v>
      </c>
      <c r="AK3" s="128" t="s">
        <v>130</v>
      </c>
      <c r="AL3" s="129" t="s">
        <v>131</v>
      </c>
      <c r="AN3" s="96" t="s">
        <v>130</v>
      </c>
      <c r="AO3" s="95" t="s">
        <v>131</v>
      </c>
      <c r="AQ3" s="196" t="s">
        <v>130</v>
      </c>
      <c r="AR3" s="142" t="s">
        <v>131</v>
      </c>
      <c r="AT3" s="197" t="s">
        <v>130</v>
      </c>
      <c r="AU3" s="129" t="s">
        <v>131</v>
      </c>
      <c r="AW3" s="96" t="s">
        <v>130</v>
      </c>
      <c r="AX3" s="95" t="s">
        <v>131</v>
      </c>
      <c r="AZ3" s="96" t="s">
        <v>130</v>
      </c>
      <c r="BA3" s="95" t="s">
        <v>131</v>
      </c>
      <c r="BC3" s="139" t="s">
        <v>130</v>
      </c>
      <c r="BD3" s="95" t="s">
        <v>131</v>
      </c>
    </row>
    <row r="4" spans="1:57" x14ac:dyDescent="0.25">
      <c r="A4" s="167" t="s">
        <v>132</v>
      </c>
      <c r="B4" s="4"/>
      <c r="D4" s="137"/>
      <c r="E4" s="148"/>
      <c r="F4" s="39"/>
      <c r="G4" s="138"/>
      <c r="H4" s="138"/>
      <c r="J4" s="154"/>
      <c r="K4" s="154"/>
      <c r="M4" s="123"/>
      <c r="N4" s="123"/>
      <c r="P4" s="123"/>
      <c r="Q4" s="123"/>
      <c r="S4" s="140"/>
      <c r="T4" s="140"/>
      <c r="V4" s="75"/>
      <c r="AK4" s="131"/>
      <c r="AL4" s="131"/>
      <c r="AQ4" s="143"/>
      <c r="AR4" s="143"/>
      <c r="AT4" s="131"/>
      <c r="AU4" s="131"/>
    </row>
    <row r="5" spans="1:57" x14ac:dyDescent="0.25">
      <c r="A5" t="s">
        <v>133</v>
      </c>
      <c r="D5" s="162">
        <v>33.53</v>
      </c>
      <c r="E5" s="162">
        <v>45.37</v>
      </c>
      <c r="F5" s="81"/>
      <c r="G5" s="153">
        <f t="shared" ref="G5:H8" si="0">D5*SUM(1+$G$1/$Y$1)</f>
        <v>39.69952</v>
      </c>
      <c r="H5" s="153">
        <f t="shared" si="0"/>
        <v>53.718079999999993</v>
      </c>
      <c r="I5" s="83"/>
      <c r="J5" s="155">
        <f>G5-D5</f>
        <v>6.1695199999999986</v>
      </c>
      <c r="K5" s="155">
        <f>H5-E5</f>
        <v>8.3480799999999959</v>
      </c>
      <c r="L5" s="83"/>
      <c r="M5" s="134">
        <f>ROUND(D5*(1+$G$1*2),2)*SUM(1+$M$1)</f>
        <v>43.670000000000009</v>
      </c>
      <c r="N5" s="134">
        <f>ROUND(E5*(1+$G$1*2),2)*SUM(1+$M$1)</f>
        <v>59.092000000000006</v>
      </c>
      <c r="P5" s="134">
        <f>M5-D5</f>
        <v>10.140000000000008</v>
      </c>
      <c r="Q5" s="134">
        <f>N5-E5</f>
        <v>13.722000000000008</v>
      </c>
      <c r="S5" s="141">
        <f t="shared" ref="S5:T8" si="1">AK5/G5</f>
        <v>0.10000120908262872</v>
      </c>
      <c r="T5" s="141">
        <f t="shared" si="1"/>
        <v>9.996634280301904E-2</v>
      </c>
      <c r="V5" s="41">
        <f t="shared" ref="V5:W8" si="2">SUM(D5/(1-$Y$1))</f>
        <v>67.06</v>
      </c>
      <c r="W5" s="41">
        <f t="shared" si="2"/>
        <v>90.74</v>
      </c>
      <c r="X5" s="82"/>
      <c r="Y5" s="41">
        <f>ROUND(D5/(1-$Y$1)*1.2,2)</f>
        <v>80.47</v>
      </c>
      <c r="Z5" s="41">
        <f>ROUND(E5/(1-$Y$1)*1.2,2)</f>
        <v>108.89</v>
      </c>
      <c r="AB5" s="182">
        <f>ROUNDDOWN(D5/(1-$Y$1)*1.2,1)</f>
        <v>80.400000000000006</v>
      </c>
      <c r="AC5" s="182">
        <f>ROUNDDOWN(E5/(1-$Y$1)*1.2,1)</f>
        <v>108.8</v>
      </c>
      <c r="AE5" s="40">
        <f>AB5/1.2</f>
        <v>67.000000000000014</v>
      </c>
      <c r="AF5" s="40">
        <f>AC5/1.2</f>
        <v>90.666666666666671</v>
      </c>
      <c r="AH5" s="40">
        <f>Y5-AB5</f>
        <v>6.9999999999993179E-2</v>
      </c>
      <c r="AI5" s="40">
        <f>Z5-AC5</f>
        <v>9.0000000000003411E-2</v>
      </c>
      <c r="AK5" s="130">
        <f t="shared" ref="AK5:AL8" si="3">ROUND(M5*(1-(1/(1+$AL$1))),2)</f>
        <v>3.97</v>
      </c>
      <c r="AL5" s="130">
        <f t="shared" si="3"/>
        <v>5.37</v>
      </c>
      <c r="AM5" s="40"/>
      <c r="AN5" s="40">
        <f>SUM(V5-G5)-AH5</f>
        <v>27.290480000000009</v>
      </c>
      <c r="AO5" s="40">
        <f>SUM(W5-H5)-AI5</f>
        <v>36.931919999999998</v>
      </c>
      <c r="AP5" s="40"/>
      <c r="AQ5" s="144">
        <f t="shared" ref="AQ5:AR8" si="4">(SUM(G5-D5)/D5*$Y$1)</f>
        <v>9.1999999999999971E-2</v>
      </c>
      <c r="AR5" s="144">
        <f t="shared" si="4"/>
        <v>9.1999999999999957E-2</v>
      </c>
      <c r="AS5" s="40"/>
      <c r="AT5" s="146">
        <f t="shared" ref="AT5:AU8" si="5">AN5/V5</f>
        <v>0.40695615866388324</v>
      </c>
      <c r="AU5" s="146">
        <f t="shared" si="5"/>
        <v>0.40700815516861361</v>
      </c>
      <c r="AV5" s="40"/>
      <c r="AW5" s="76">
        <f t="shared" ref="AW5:AX8" si="6">D5/V5</f>
        <v>0.5</v>
      </c>
      <c r="AX5" s="76">
        <f t="shared" si="6"/>
        <v>0.5</v>
      </c>
      <c r="AY5" s="42"/>
      <c r="AZ5" s="42">
        <f t="shared" ref="AZ5:BA8" si="7">J5+AN5</f>
        <v>33.460000000000008</v>
      </c>
      <c r="BA5" s="42">
        <f t="shared" si="7"/>
        <v>45.279999999999994</v>
      </c>
      <c r="BB5" s="42"/>
      <c r="BC5" s="76">
        <f t="shared" ref="BC5:BD8" si="8">AZ5/(D5/$Y$1)</f>
        <v>0.49895615866388321</v>
      </c>
      <c r="BD5" s="76">
        <f t="shared" si="8"/>
        <v>0.49900815516861358</v>
      </c>
      <c r="BE5" s="42"/>
    </row>
    <row r="6" spans="1:57" x14ac:dyDescent="0.25">
      <c r="A6" t="s">
        <v>134</v>
      </c>
      <c r="D6" s="162">
        <v>50.3</v>
      </c>
      <c r="E6" s="162">
        <v>68.069999999999993</v>
      </c>
      <c r="F6" s="81"/>
      <c r="G6" s="153">
        <f t="shared" si="0"/>
        <v>59.555199999999992</v>
      </c>
      <c r="H6" s="153">
        <f t="shared" si="0"/>
        <v>80.594879999999989</v>
      </c>
      <c r="I6" s="83"/>
      <c r="J6" s="155">
        <f>G6-D6</f>
        <v>9.255199999999995</v>
      </c>
      <c r="K6" s="155">
        <f>H6-E6</f>
        <v>12.524879999999996</v>
      </c>
      <c r="L6" s="83"/>
      <c r="M6" s="134">
        <f t="shared" ref="M6:N8" si="9">ROUND(D6*(1+$G$1*2),2)*SUM(1+$M$1)</f>
        <v>65.516000000000005</v>
      </c>
      <c r="N6" s="134">
        <f t="shared" si="9"/>
        <v>88.649000000000015</v>
      </c>
      <c r="P6" s="134">
        <f>M6-D6</f>
        <v>15.216000000000008</v>
      </c>
      <c r="Q6" s="134">
        <f>N6-E6</f>
        <v>20.579000000000022</v>
      </c>
      <c r="S6" s="141">
        <f t="shared" si="1"/>
        <v>0.10007522432969751</v>
      </c>
      <c r="T6" s="141">
        <f t="shared" si="1"/>
        <v>0.10000635276087019</v>
      </c>
      <c r="V6" s="41">
        <f t="shared" si="2"/>
        <v>100.6</v>
      </c>
      <c r="W6" s="41">
        <f t="shared" si="2"/>
        <v>136.13999999999999</v>
      </c>
      <c r="X6" s="82"/>
      <c r="Y6" s="41">
        <f t="shared" ref="Y6:Y8" si="10">ROUND(D6/(1-$Y$1)*1.2,2)</f>
        <v>120.72</v>
      </c>
      <c r="Z6" s="41">
        <f t="shared" ref="Z6:Z8" si="11">ROUND(E6/(1-$Y$1)*1.2,2)</f>
        <v>163.37</v>
      </c>
      <c r="AB6" s="182">
        <f t="shared" ref="AB6:AB8" si="12">ROUNDDOWN(D6/(1-$Y$1)*1.2,1)</f>
        <v>120.7</v>
      </c>
      <c r="AC6" s="182">
        <f t="shared" ref="AC6:AC8" si="13">ROUNDDOWN(E6/(1-$Y$1)*1.2,1)</f>
        <v>163.30000000000001</v>
      </c>
      <c r="AE6" s="40">
        <f t="shared" ref="AE6:AE8" si="14">AB6/1.2</f>
        <v>100.58333333333334</v>
      </c>
      <c r="AF6" s="40">
        <f t="shared" ref="AF6:AF8" si="15">AC6/1.2</f>
        <v>136.08333333333334</v>
      </c>
      <c r="AH6" s="40">
        <f t="shared" ref="AH6:AH8" si="16">Y6-AB6</f>
        <v>1.9999999999996021E-2</v>
      </c>
      <c r="AI6" s="40">
        <f t="shared" ref="AI6:AI8" si="17">Z6-AC6</f>
        <v>6.9999999999993179E-2</v>
      </c>
      <c r="AK6" s="130">
        <f t="shared" si="3"/>
        <v>5.96</v>
      </c>
      <c r="AL6" s="130">
        <f t="shared" si="3"/>
        <v>8.06</v>
      </c>
      <c r="AM6" s="40"/>
      <c r="AN6" s="40">
        <f t="shared" ref="AN6:AN8" si="18">SUM(V6-G6)-AH6</f>
        <v>41.024800000000006</v>
      </c>
      <c r="AO6" s="40">
        <f t="shared" ref="AO6:AO8" si="19">SUM(W6-H6)-AI6</f>
        <v>55.475120000000004</v>
      </c>
      <c r="AP6" s="40"/>
      <c r="AQ6" s="144">
        <f t="shared" si="4"/>
        <v>9.1999999999999957E-2</v>
      </c>
      <c r="AR6" s="144">
        <f t="shared" si="4"/>
        <v>9.1999999999999985E-2</v>
      </c>
      <c r="AS6" s="40"/>
      <c r="AT6" s="146">
        <f t="shared" si="5"/>
        <v>0.40780119284294242</v>
      </c>
      <c r="AU6" s="146">
        <f t="shared" si="5"/>
        <v>0.40748582341707074</v>
      </c>
      <c r="AV6" s="40"/>
      <c r="AW6" s="76">
        <f t="shared" si="6"/>
        <v>0.5</v>
      </c>
      <c r="AX6" s="76">
        <f t="shared" si="6"/>
        <v>0.5</v>
      </c>
      <c r="AY6" s="42"/>
      <c r="AZ6" s="42">
        <f t="shared" si="7"/>
        <v>50.28</v>
      </c>
      <c r="BA6" s="42">
        <f t="shared" si="7"/>
        <v>68</v>
      </c>
      <c r="BB6" s="42"/>
      <c r="BC6" s="76">
        <f t="shared" si="8"/>
        <v>0.49980119284294239</v>
      </c>
      <c r="BD6" s="76">
        <f t="shared" si="8"/>
        <v>0.49948582341707071</v>
      </c>
      <c r="BE6" s="42"/>
    </row>
    <row r="7" spans="1:57" x14ac:dyDescent="0.25">
      <c r="A7" t="s">
        <v>135</v>
      </c>
      <c r="D7" s="162">
        <v>56.28</v>
      </c>
      <c r="E7" s="162">
        <v>77.92</v>
      </c>
      <c r="F7" s="81"/>
      <c r="G7" s="153">
        <f t="shared" si="0"/>
        <v>66.63552</v>
      </c>
      <c r="H7" s="153">
        <f t="shared" si="0"/>
        <v>92.257279999999994</v>
      </c>
      <c r="J7" s="155">
        <f t="shared" ref="J7:K8" si="20">G7-D7</f>
        <v>10.355519999999999</v>
      </c>
      <c r="K7" s="155">
        <f t="shared" si="20"/>
        <v>14.337279999999993</v>
      </c>
      <c r="M7" s="134">
        <f t="shared" si="9"/>
        <v>73.304000000000002</v>
      </c>
      <c r="N7" s="134">
        <f t="shared" si="9"/>
        <v>101.48600000000002</v>
      </c>
      <c r="P7" s="134">
        <f t="shared" ref="P7:Q8" si="21">M7-D7</f>
        <v>17.024000000000001</v>
      </c>
      <c r="Q7" s="134">
        <f t="shared" si="21"/>
        <v>23.566000000000017</v>
      </c>
      <c r="S7" s="141">
        <f t="shared" si="1"/>
        <v>9.9946695095948834E-2</v>
      </c>
      <c r="T7" s="141">
        <f t="shared" si="1"/>
        <v>0.10004630528886177</v>
      </c>
      <c r="V7" s="41">
        <f t="shared" si="2"/>
        <v>112.56</v>
      </c>
      <c r="W7" s="41">
        <f t="shared" si="2"/>
        <v>155.84</v>
      </c>
      <c r="Y7" s="41">
        <f t="shared" si="10"/>
        <v>135.07</v>
      </c>
      <c r="Z7" s="41">
        <f t="shared" si="11"/>
        <v>187.01</v>
      </c>
      <c r="AB7" s="182">
        <f t="shared" si="12"/>
        <v>135</v>
      </c>
      <c r="AC7" s="182">
        <f t="shared" si="13"/>
        <v>187</v>
      </c>
      <c r="AE7" s="40">
        <f t="shared" si="14"/>
        <v>112.5</v>
      </c>
      <c r="AF7" s="40">
        <f t="shared" si="15"/>
        <v>155.83333333333334</v>
      </c>
      <c r="AH7" s="40">
        <f t="shared" si="16"/>
        <v>6.9999999999993179E-2</v>
      </c>
      <c r="AI7" s="40">
        <f t="shared" si="17"/>
        <v>9.9999999999909051E-3</v>
      </c>
      <c r="AK7" s="130">
        <f t="shared" si="3"/>
        <v>6.66</v>
      </c>
      <c r="AL7" s="130">
        <f t="shared" si="3"/>
        <v>9.23</v>
      </c>
      <c r="AM7" s="40"/>
      <c r="AN7" s="40">
        <f t="shared" si="18"/>
        <v>45.854480000000009</v>
      </c>
      <c r="AO7" s="40">
        <f t="shared" si="19"/>
        <v>63.572720000000018</v>
      </c>
      <c r="AP7" s="40"/>
      <c r="AQ7" s="144">
        <f t="shared" si="4"/>
        <v>9.1999999999999985E-2</v>
      </c>
      <c r="AR7" s="144">
        <f t="shared" si="4"/>
        <v>9.1999999999999957E-2</v>
      </c>
      <c r="AS7" s="40"/>
      <c r="AT7" s="146">
        <f t="shared" si="5"/>
        <v>0.40737810945273639</v>
      </c>
      <c r="AU7" s="146">
        <f t="shared" si="5"/>
        <v>0.40793583162217673</v>
      </c>
      <c r="AV7" s="40"/>
      <c r="AW7" s="76">
        <f t="shared" si="6"/>
        <v>0.5</v>
      </c>
      <c r="AX7" s="76">
        <f t="shared" si="6"/>
        <v>0.5</v>
      </c>
      <c r="AY7" s="42"/>
      <c r="AZ7" s="42">
        <f t="shared" si="7"/>
        <v>56.210000000000008</v>
      </c>
      <c r="BA7" s="42">
        <f t="shared" si="7"/>
        <v>77.910000000000011</v>
      </c>
      <c r="BB7" s="42"/>
      <c r="BC7" s="76">
        <f t="shared" si="8"/>
        <v>0.49937810945273636</v>
      </c>
      <c r="BD7" s="76">
        <f t="shared" si="8"/>
        <v>0.49993583162217664</v>
      </c>
      <c r="BE7" s="42"/>
    </row>
    <row r="8" spans="1:57" x14ac:dyDescent="0.25">
      <c r="A8" t="s">
        <v>136</v>
      </c>
      <c r="D8" s="162">
        <v>58.65</v>
      </c>
      <c r="E8" s="162">
        <v>80.34</v>
      </c>
      <c r="F8" s="81"/>
      <c r="G8" s="153">
        <f t="shared" si="0"/>
        <v>69.441599999999994</v>
      </c>
      <c r="H8" s="153">
        <f t="shared" si="0"/>
        <v>95.122559999999993</v>
      </c>
      <c r="J8" s="155">
        <f t="shared" si="20"/>
        <v>10.791599999999995</v>
      </c>
      <c r="K8" s="155">
        <f t="shared" si="20"/>
        <v>14.782559999999989</v>
      </c>
      <c r="M8" s="134">
        <f t="shared" si="9"/>
        <v>76.384</v>
      </c>
      <c r="N8" s="134">
        <f t="shared" si="9"/>
        <v>104.63200000000002</v>
      </c>
      <c r="P8" s="134">
        <f t="shared" si="21"/>
        <v>17.734000000000002</v>
      </c>
      <c r="Q8" s="134">
        <f t="shared" si="21"/>
        <v>24.292000000000016</v>
      </c>
      <c r="S8" s="141">
        <f t="shared" si="1"/>
        <v>9.9940093546231665E-2</v>
      </c>
      <c r="T8" s="141">
        <f t="shared" si="1"/>
        <v>9.9976283228710425E-2</v>
      </c>
      <c r="V8" s="41">
        <f t="shared" si="2"/>
        <v>117.3</v>
      </c>
      <c r="W8" s="41">
        <f t="shared" si="2"/>
        <v>160.68</v>
      </c>
      <c r="Y8" s="41">
        <f t="shared" si="10"/>
        <v>140.76</v>
      </c>
      <c r="Z8" s="41">
        <f t="shared" si="11"/>
        <v>192.82</v>
      </c>
      <c r="AB8" s="182">
        <f t="shared" si="12"/>
        <v>140.69999999999999</v>
      </c>
      <c r="AC8" s="182">
        <f t="shared" si="13"/>
        <v>192.8</v>
      </c>
      <c r="AE8" s="40">
        <f t="shared" si="14"/>
        <v>117.25</v>
      </c>
      <c r="AF8" s="40">
        <f t="shared" si="15"/>
        <v>160.66666666666669</v>
      </c>
      <c r="AH8" s="40">
        <f t="shared" si="16"/>
        <v>6.0000000000002274E-2</v>
      </c>
      <c r="AI8" s="40">
        <f t="shared" si="17"/>
        <v>1.999999999998181E-2</v>
      </c>
      <c r="AK8" s="130">
        <f t="shared" si="3"/>
        <v>6.94</v>
      </c>
      <c r="AL8" s="130">
        <f t="shared" si="3"/>
        <v>9.51</v>
      </c>
      <c r="AM8" s="40"/>
      <c r="AN8" s="40">
        <f t="shared" si="18"/>
        <v>47.798400000000001</v>
      </c>
      <c r="AO8" s="40">
        <f t="shared" si="19"/>
        <v>65.537440000000032</v>
      </c>
      <c r="AP8" s="40"/>
      <c r="AQ8" s="144">
        <f t="shared" si="4"/>
        <v>9.1999999999999957E-2</v>
      </c>
      <c r="AR8" s="144">
        <f t="shared" si="4"/>
        <v>9.1999999999999929E-2</v>
      </c>
      <c r="AS8" s="40"/>
      <c r="AT8" s="146">
        <f t="shared" si="5"/>
        <v>0.40748849104859336</v>
      </c>
      <c r="AU8" s="146">
        <f t="shared" si="5"/>
        <v>0.40787552900174279</v>
      </c>
      <c r="AV8" s="40"/>
      <c r="AW8" s="76">
        <f t="shared" si="6"/>
        <v>0.5</v>
      </c>
      <c r="AX8" s="76">
        <f t="shared" si="6"/>
        <v>0.5</v>
      </c>
      <c r="AY8" s="42"/>
      <c r="AZ8" s="42">
        <f t="shared" si="7"/>
        <v>58.589999999999996</v>
      </c>
      <c r="BA8" s="42">
        <f t="shared" si="7"/>
        <v>80.320000000000022</v>
      </c>
      <c r="BB8" s="42"/>
      <c r="BC8" s="76">
        <f t="shared" si="8"/>
        <v>0.49948849104859333</v>
      </c>
      <c r="BD8" s="76">
        <f t="shared" si="8"/>
        <v>0.4998755290017427</v>
      </c>
      <c r="BE8" s="42"/>
    </row>
    <row r="9" spans="1:57" x14ac:dyDescent="0.25">
      <c r="A9"/>
      <c r="D9" s="162"/>
      <c r="E9" s="162"/>
      <c r="F9" s="41"/>
      <c r="G9" s="153"/>
      <c r="H9" s="153"/>
      <c r="I9" s="75"/>
      <c r="J9" s="156"/>
      <c r="K9" s="156"/>
      <c r="L9" s="75"/>
      <c r="M9" s="134"/>
      <c r="N9" s="134"/>
      <c r="P9" s="134"/>
      <c r="Q9" s="134"/>
      <c r="S9" s="140"/>
      <c r="T9" s="140"/>
      <c r="V9" s="40"/>
      <c r="W9" s="40"/>
      <c r="Y9" s="41"/>
      <c r="Z9" s="41"/>
      <c r="AK9" s="130"/>
      <c r="AL9" s="130"/>
      <c r="AM9" s="40"/>
      <c r="AN9" s="40"/>
      <c r="AO9" s="40"/>
      <c r="AP9" s="40"/>
      <c r="AQ9" s="145"/>
      <c r="AR9" s="145"/>
      <c r="AS9" s="40"/>
      <c r="AT9" s="146"/>
      <c r="AU9" s="146"/>
      <c r="AV9" s="40"/>
      <c r="AW9" s="76"/>
      <c r="AX9" s="76"/>
      <c r="AY9" s="42"/>
      <c r="AZ9" s="42"/>
      <c r="BA9" s="42"/>
      <c r="BB9" s="42"/>
      <c r="BC9" s="76"/>
      <c r="BD9" s="76"/>
      <c r="BE9" s="42"/>
    </row>
    <row r="10" spans="1:57" x14ac:dyDescent="0.25">
      <c r="A10" s="167" t="s">
        <v>137</v>
      </c>
      <c r="B10" s="4"/>
      <c r="D10" s="162"/>
      <c r="E10" s="162"/>
      <c r="F10" s="41"/>
      <c r="G10" s="153"/>
      <c r="H10" s="153"/>
      <c r="J10" s="154"/>
      <c r="K10" s="154"/>
      <c r="M10" s="134"/>
      <c r="N10" s="134"/>
      <c r="P10" s="134"/>
      <c r="Q10" s="134"/>
      <c r="S10" s="140"/>
      <c r="T10" s="140"/>
      <c r="V10" s="40"/>
      <c r="W10" s="40"/>
      <c r="Y10" s="41"/>
      <c r="Z10" s="41"/>
      <c r="AK10" s="130"/>
      <c r="AL10" s="130"/>
      <c r="AM10" s="40"/>
      <c r="AN10" s="40"/>
      <c r="AO10" s="40"/>
      <c r="AP10" s="40"/>
      <c r="AQ10" s="145"/>
      <c r="AR10" s="145"/>
      <c r="AS10" s="40"/>
      <c r="AT10" s="146"/>
      <c r="AU10" s="146"/>
      <c r="AV10" s="40"/>
      <c r="AW10" s="76"/>
      <c r="AX10" s="76"/>
      <c r="AY10" s="42"/>
      <c r="AZ10" s="42"/>
      <c r="BA10" s="42"/>
      <c r="BB10" s="42"/>
      <c r="BC10" s="76"/>
      <c r="BD10" s="76"/>
      <c r="BE10" s="42"/>
    </row>
    <row r="11" spans="1:57" x14ac:dyDescent="0.25">
      <c r="A11" t="s">
        <v>133</v>
      </c>
      <c r="D11" s="162">
        <v>33.53</v>
      </c>
      <c r="E11" s="162">
        <v>45.37</v>
      </c>
      <c r="F11" s="81"/>
      <c r="G11" s="153">
        <f t="shared" ref="G11:H14" si="22">D11*SUM(1+$G$1/$Y$1)</f>
        <v>39.69952</v>
      </c>
      <c r="H11" s="153">
        <f t="shared" si="22"/>
        <v>53.718079999999993</v>
      </c>
      <c r="J11" s="155">
        <f t="shared" ref="J11:K14" si="23">G11-D11</f>
        <v>6.1695199999999986</v>
      </c>
      <c r="K11" s="155">
        <f t="shared" si="23"/>
        <v>8.3480799999999959</v>
      </c>
      <c r="M11" s="134">
        <f>ROUND(D11*(1+$G$1*2),2)*SUM(1+$M$1)</f>
        <v>43.670000000000009</v>
      </c>
      <c r="N11" s="134">
        <f>ROUND(E11*(1+$G$1*2),2)*SUM(1+$M$1)</f>
        <v>59.092000000000006</v>
      </c>
      <c r="P11" s="134">
        <f t="shared" ref="P11:Q14" si="24">M11-D11</f>
        <v>10.140000000000008</v>
      </c>
      <c r="Q11" s="134">
        <f t="shared" si="24"/>
        <v>13.722000000000008</v>
      </c>
      <c r="S11" s="141">
        <f t="shared" ref="S11:T14" si="25">AK11/G11</f>
        <v>0.10000120908262872</v>
      </c>
      <c r="T11" s="141">
        <f t="shared" si="25"/>
        <v>9.996634280301904E-2</v>
      </c>
      <c r="V11" s="41">
        <f t="shared" ref="V11:W14" si="26">SUM(D11/(1-$Y$1))</f>
        <v>67.06</v>
      </c>
      <c r="W11" s="41">
        <f t="shared" si="26"/>
        <v>90.74</v>
      </c>
      <c r="Y11" s="41">
        <f>ROUND(D11/(1-$Y$1)*1.2,2)</f>
        <v>80.47</v>
      </c>
      <c r="Z11" s="41">
        <f>ROUND(E11/(1-$Y$1)*1.2,2)</f>
        <v>108.89</v>
      </c>
      <c r="AB11" s="182">
        <f t="shared" ref="AB11:AB14" si="27">ROUNDDOWN(D11/(1-$Y$1)*1.2,1)</f>
        <v>80.400000000000006</v>
      </c>
      <c r="AC11" s="182">
        <f t="shared" ref="AC11:AC14" si="28">ROUNDDOWN(E11/(1-$Y$1)*1.2,1)</f>
        <v>108.8</v>
      </c>
      <c r="AE11" s="40">
        <f t="shared" ref="AE11:AE14" si="29">AB11/1.2</f>
        <v>67.000000000000014</v>
      </c>
      <c r="AF11" s="40">
        <f t="shared" ref="AF11:AF14" si="30">AC11/1.2</f>
        <v>90.666666666666671</v>
      </c>
      <c r="AH11" s="40">
        <f t="shared" ref="AH11:AH14" si="31">Y11-AB11</f>
        <v>6.9999999999993179E-2</v>
      </c>
      <c r="AI11" s="40">
        <f t="shared" ref="AI11:AI14" si="32">Z11-AC11</f>
        <v>9.0000000000003411E-2</v>
      </c>
      <c r="AK11" s="130">
        <f t="shared" ref="AK11:AL14" si="33">ROUND(M11*(1-(1/(1+$AL$1))),2)</f>
        <v>3.97</v>
      </c>
      <c r="AL11" s="130">
        <f t="shared" si="33"/>
        <v>5.37</v>
      </c>
      <c r="AM11" s="40"/>
      <c r="AN11" s="40">
        <f t="shared" ref="AN11:AN14" si="34">SUM(V11-G11)-AH11</f>
        <v>27.290480000000009</v>
      </c>
      <c r="AO11" s="40">
        <f t="shared" ref="AO11:AO14" si="35">SUM(W11-H11)-AI11</f>
        <v>36.931919999999998</v>
      </c>
      <c r="AP11" s="40"/>
      <c r="AQ11" s="144">
        <f t="shared" ref="AQ11:AR14" si="36">(SUM(G11-D11)/D11*$Y$1)</f>
        <v>9.1999999999999971E-2</v>
      </c>
      <c r="AR11" s="144">
        <f t="shared" si="36"/>
        <v>9.1999999999999957E-2</v>
      </c>
      <c r="AS11" s="40"/>
      <c r="AT11" s="146">
        <f t="shared" ref="AT11:AU14" si="37">AN11/V11</f>
        <v>0.40695615866388324</v>
      </c>
      <c r="AU11" s="146">
        <f t="shared" si="37"/>
        <v>0.40700815516861361</v>
      </c>
      <c r="AV11" s="40"/>
      <c r="AW11" s="76">
        <f t="shared" ref="AW11:AX14" si="38">D11/V11</f>
        <v>0.5</v>
      </c>
      <c r="AX11" s="76">
        <f t="shared" si="38"/>
        <v>0.5</v>
      </c>
      <c r="AY11" s="42"/>
      <c r="AZ11" s="42">
        <f t="shared" ref="AZ11:BA14" si="39">J11+AN11</f>
        <v>33.460000000000008</v>
      </c>
      <c r="BA11" s="42">
        <f t="shared" si="39"/>
        <v>45.279999999999994</v>
      </c>
      <c r="BB11" s="42"/>
      <c r="BC11" s="76">
        <f t="shared" ref="BC11:BD14" si="40">AZ11/(D11/$Y$1)</f>
        <v>0.49895615866388321</v>
      </c>
      <c r="BD11" s="76">
        <f t="shared" si="40"/>
        <v>0.49900815516861358</v>
      </c>
      <c r="BE11" s="42"/>
    </row>
    <row r="12" spans="1:57" x14ac:dyDescent="0.25">
      <c r="A12" t="s">
        <v>134</v>
      </c>
      <c r="D12" s="162">
        <v>50.3</v>
      </c>
      <c r="E12" s="162">
        <v>68.069999999999993</v>
      </c>
      <c r="F12" s="81"/>
      <c r="G12" s="153">
        <f t="shared" si="22"/>
        <v>59.555199999999992</v>
      </c>
      <c r="H12" s="153">
        <f t="shared" si="22"/>
        <v>80.594879999999989</v>
      </c>
      <c r="J12" s="155">
        <f t="shared" si="23"/>
        <v>9.255199999999995</v>
      </c>
      <c r="K12" s="155">
        <f t="shared" si="23"/>
        <v>12.524879999999996</v>
      </c>
      <c r="M12" s="134">
        <f>ROUND(D12*(1+$G$1*2),2)*SUM(1+$M$1)</f>
        <v>65.516000000000005</v>
      </c>
      <c r="N12" s="134">
        <f t="shared" ref="M12:N14" si="41">ROUND(E12*(1+$G$1*2),2)*SUM(1+$M$1)</f>
        <v>88.649000000000015</v>
      </c>
      <c r="P12" s="134">
        <f t="shared" si="24"/>
        <v>15.216000000000008</v>
      </c>
      <c r="Q12" s="134">
        <f t="shared" si="24"/>
        <v>20.579000000000022</v>
      </c>
      <c r="S12" s="141">
        <f t="shared" si="25"/>
        <v>0.10007522432969751</v>
      </c>
      <c r="T12" s="141">
        <f t="shared" si="25"/>
        <v>0.10000635276087019</v>
      </c>
      <c r="V12" s="41">
        <f t="shared" si="26"/>
        <v>100.6</v>
      </c>
      <c r="W12" s="41">
        <f t="shared" si="26"/>
        <v>136.13999999999999</v>
      </c>
      <c r="Y12" s="41">
        <f t="shared" ref="Y12:Y14" si="42">ROUND(D12/(1-$Y$1)*1.2,2)</f>
        <v>120.72</v>
      </c>
      <c r="Z12" s="41">
        <f t="shared" ref="Z12:Z14" si="43">ROUND(E12/(1-$Y$1)*1.2,2)</f>
        <v>163.37</v>
      </c>
      <c r="AB12" s="182">
        <f t="shared" si="27"/>
        <v>120.7</v>
      </c>
      <c r="AC12" s="182">
        <f t="shared" si="28"/>
        <v>163.30000000000001</v>
      </c>
      <c r="AE12" s="40">
        <f t="shared" si="29"/>
        <v>100.58333333333334</v>
      </c>
      <c r="AF12" s="40">
        <f t="shared" si="30"/>
        <v>136.08333333333334</v>
      </c>
      <c r="AH12" s="40">
        <f t="shared" si="31"/>
        <v>1.9999999999996021E-2</v>
      </c>
      <c r="AI12" s="40">
        <f t="shared" si="32"/>
        <v>6.9999999999993179E-2</v>
      </c>
      <c r="AK12" s="130">
        <f t="shared" si="33"/>
        <v>5.96</v>
      </c>
      <c r="AL12" s="130">
        <f t="shared" si="33"/>
        <v>8.06</v>
      </c>
      <c r="AM12" s="40"/>
      <c r="AN12" s="40">
        <f t="shared" si="34"/>
        <v>41.024800000000006</v>
      </c>
      <c r="AO12" s="40">
        <f t="shared" si="35"/>
        <v>55.475120000000004</v>
      </c>
      <c r="AP12" s="40"/>
      <c r="AQ12" s="144">
        <f t="shared" si="36"/>
        <v>9.1999999999999957E-2</v>
      </c>
      <c r="AR12" s="144">
        <f t="shared" si="36"/>
        <v>9.1999999999999985E-2</v>
      </c>
      <c r="AS12" s="40"/>
      <c r="AT12" s="146">
        <f t="shared" si="37"/>
        <v>0.40780119284294242</v>
      </c>
      <c r="AU12" s="146">
        <f t="shared" si="37"/>
        <v>0.40748582341707074</v>
      </c>
      <c r="AV12" s="40"/>
      <c r="AW12" s="76">
        <f t="shared" si="38"/>
        <v>0.5</v>
      </c>
      <c r="AX12" s="76">
        <f t="shared" si="38"/>
        <v>0.5</v>
      </c>
      <c r="AY12" s="42"/>
      <c r="AZ12" s="42">
        <f t="shared" si="39"/>
        <v>50.28</v>
      </c>
      <c r="BA12" s="42">
        <f t="shared" si="39"/>
        <v>68</v>
      </c>
      <c r="BB12" s="42"/>
      <c r="BC12" s="76">
        <f t="shared" si="40"/>
        <v>0.49980119284294239</v>
      </c>
      <c r="BD12" s="76">
        <f t="shared" si="40"/>
        <v>0.49948582341707071</v>
      </c>
      <c r="BE12" s="42"/>
    </row>
    <row r="13" spans="1:57" x14ac:dyDescent="0.25">
      <c r="A13" t="s">
        <v>135</v>
      </c>
      <c r="D13" s="162">
        <v>56.28</v>
      </c>
      <c r="E13" s="162">
        <v>77.92</v>
      </c>
      <c r="F13" s="81"/>
      <c r="G13" s="153">
        <f t="shared" si="22"/>
        <v>66.63552</v>
      </c>
      <c r="H13" s="153">
        <f t="shared" si="22"/>
        <v>92.257279999999994</v>
      </c>
      <c r="J13" s="155">
        <f t="shared" si="23"/>
        <v>10.355519999999999</v>
      </c>
      <c r="K13" s="155">
        <f t="shared" si="23"/>
        <v>14.337279999999993</v>
      </c>
      <c r="M13" s="134">
        <f t="shared" si="41"/>
        <v>73.304000000000002</v>
      </c>
      <c r="N13" s="134">
        <f t="shared" si="41"/>
        <v>101.48600000000002</v>
      </c>
      <c r="P13" s="134">
        <f t="shared" si="24"/>
        <v>17.024000000000001</v>
      </c>
      <c r="Q13" s="134">
        <f t="shared" si="24"/>
        <v>23.566000000000017</v>
      </c>
      <c r="S13" s="141">
        <f t="shared" si="25"/>
        <v>9.9946695095948834E-2</v>
      </c>
      <c r="T13" s="141">
        <f t="shared" si="25"/>
        <v>0.10004630528886177</v>
      </c>
      <c r="V13" s="41">
        <f t="shared" si="26"/>
        <v>112.56</v>
      </c>
      <c r="W13" s="41">
        <f t="shared" si="26"/>
        <v>155.84</v>
      </c>
      <c r="Y13" s="41">
        <f t="shared" si="42"/>
        <v>135.07</v>
      </c>
      <c r="Z13" s="41">
        <f t="shared" si="43"/>
        <v>187.01</v>
      </c>
      <c r="AB13" s="182">
        <f t="shared" si="27"/>
        <v>135</v>
      </c>
      <c r="AC13" s="182">
        <f t="shared" si="28"/>
        <v>187</v>
      </c>
      <c r="AE13" s="40">
        <f t="shared" si="29"/>
        <v>112.5</v>
      </c>
      <c r="AF13" s="40">
        <f t="shared" si="30"/>
        <v>155.83333333333334</v>
      </c>
      <c r="AH13" s="40">
        <f t="shared" si="31"/>
        <v>6.9999999999993179E-2</v>
      </c>
      <c r="AI13" s="40">
        <f t="shared" si="32"/>
        <v>9.9999999999909051E-3</v>
      </c>
      <c r="AK13" s="130">
        <f t="shared" si="33"/>
        <v>6.66</v>
      </c>
      <c r="AL13" s="130">
        <f t="shared" si="33"/>
        <v>9.23</v>
      </c>
      <c r="AM13" s="40"/>
      <c r="AN13" s="40">
        <f t="shared" si="34"/>
        <v>45.854480000000009</v>
      </c>
      <c r="AO13" s="40">
        <f t="shared" si="35"/>
        <v>63.572720000000018</v>
      </c>
      <c r="AP13" s="40"/>
      <c r="AQ13" s="144">
        <f t="shared" si="36"/>
        <v>9.1999999999999985E-2</v>
      </c>
      <c r="AR13" s="144">
        <f t="shared" si="36"/>
        <v>9.1999999999999957E-2</v>
      </c>
      <c r="AS13" s="40"/>
      <c r="AT13" s="146">
        <f t="shared" si="37"/>
        <v>0.40737810945273639</v>
      </c>
      <c r="AU13" s="146">
        <f t="shared" si="37"/>
        <v>0.40793583162217673</v>
      </c>
      <c r="AV13" s="40"/>
      <c r="AW13" s="76">
        <f t="shared" si="38"/>
        <v>0.5</v>
      </c>
      <c r="AX13" s="76">
        <f t="shared" si="38"/>
        <v>0.5</v>
      </c>
      <c r="AY13" s="42"/>
      <c r="AZ13" s="42">
        <f t="shared" si="39"/>
        <v>56.210000000000008</v>
      </c>
      <c r="BA13" s="42">
        <f t="shared" si="39"/>
        <v>77.910000000000011</v>
      </c>
      <c r="BB13" s="42"/>
      <c r="BC13" s="76">
        <f t="shared" si="40"/>
        <v>0.49937810945273636</v>
      </c>
      <c r="BD13" s="76">
        <f t="shared" si="40"/>
        <v>0.49993583162217664</v>
      </c>
      <c r="BE13" s="42"/>
    </row>
    <row r="14" spans="1:57" x14ac:dyDescent="0.25">
      <c r="A14" t="s">
        <v>136</v>
      </c>
      <c r="D14" s="162">
        <v>58.65</v>
      </c>
      <c r="E14" s="162">
        <v>80.34</v>
      </c>
      <c r="F14" s="81"/>
      <c r="G14" s="153">
        <f t="shared" si="22"/>
        <v>69.441599999999994</v>
      </c>
      <c r="H14" s="153">
        <f t="shared" si="22"/>
        <v>95.122559999999993</v>
      </c>
      <c r="J14" s="155">
        <f t="shared" si="23"/>
        <v>10.791599999999995</v>
      </c>
      <c r="K14" s="155">
        <f t="shared" si="23"/>
        <v>14.782559999999989</v>
      </c>
      <c r="M14" s="134">
        <f t="shared" si="41"/>
        <v>76.384</v>
      </c>
      <c r="N14" s="134">
        <f t="shared" si="41"/>
        <v>104.63200000000002</v>
      </c>
      <c r="P14" s="134">
        <f t="shared" si="24"/>
        <v>17.734000000000002</v>
      </c>
      <c r="Q14" s="134">
        <f t="shared" si="24"/>
        <v>24.292000000000016</v>
      </c>
      <c r="S14" s="141">
        <f t="shared" si="25"/>
        <v>9.9940093546231665E-2</v>
      </c>
      <c r="T14" s="141">
        <f t="shared" si="25"/>
        <v>9.9976283228710425E-2</v>
      </c>
      <c r="V14" s="41">
        <f t="shared" si="26"/>
        <v>117.3</v>
      </c>
      <c r="W14" s="41">
        <f t="shared" si="26"/>
        <v>160.68</v>
      </c>
      <c r="Y14" s="41">
        <f t="shared" si="42"/>
        <v>140.76</v>
      </c>
      <c r="Z14" s="41">
        <f t="shared" si="43"/>
        <v>192.82</v>
      </c>
      <c r="AB14" s="182">
        <f t="shared" si="27"/>
        <v>140.69999999999999</v>
      </c>
      <c r="AC14" s="182">
        <f t="shared" si="28"/>
        <v>192.8</v>
      </c>
      <c r="AE14" s="40">
        <f t="shared" si="29"/>
        <v>117.25</v>
      </c>
      <c r="AF14" s="40">
        <f t="shared" si="30"/>
        <v>160.66666666666669</v>
      </c>
      <c r="AH14" s="40">
        <f t="shared" si="31"/>
        <v>6.0000000000002274E-2</v>
      </c>
      <c r="AI14" s="40">
        <f t="shared" si="32"/>
        <v>1.999999999998181E-2</v>
      </c>
      <c r="AK14" s="130">
        <f t="shared" si="33"/>
        <v>6.94</v>
      </c>
      <c r="AL14" s="130">
        <f t="shared" si="33"/>
        <v>9.51</v>
      </c>
      <c r="AM14" s="40"/>
      <c r="AN14" s="40">
        <f t="shared" si="34"/>
        <v>47.798400000000001</v>
      </c>
      <c r="AO14" s="40">
        <f t="shared" si="35"/>
        <v>65.537440000000032</v>
      </c>
      <c r="AP14" s="40"/>
      <c r="AQ14" s="144">
        <f t="shared" si="36"/>
        <v>9.1999999999999957E-2</v>
      </c>
      <c r="AR14" s="144">
        <f t="shared" si="36"/>
        <v>9.1999999999999929E-2</v>
      </c>
      <c r="AS14" s="40"/>
      <c r="AT14" s="146">
        <f t="shared" si="37"/>
        <v>0.40748849104859336</v>
      </c>
      <c r="AU14" s="146">
        <f t="shared" si="37"/>
        <v>0.40787552900174279</v>
      </c>
      <c r="AV14" s="40"/>
      <c r="AW14" s="76">
        <f t="shared" si="38"/>
        <v>0.5</v>
      </c>
      <c r="AX14" s="76">
        <f t="shared" si="38"/>
        <v>0.5</v>
      </c>
      <c r="AY14" s="42"/>
      <c r="AZ14" s="42">
        <f t="shared" si="39"/>
        <v>58.589999999999996</v>
      </c>
      <c r="BA14" s="42">
        <f t="shared" si="39"/>
        <v>80.320000000000022</v>
      </c>
      <c r="BB14" s="42"/>
      <c r="BC14" s="76">
        <f t="shared" si="40"/>
        <v>0.49948849104859333</v>
      </c>
      <c r="BD14" s="76">
        <f t="shared" si="40"/>
        <v>0.4998755290017427</v>
      </c>
      <c r="BE14" s="42"/>
    </row>
    <row r="15" spans="1:57" x14ac:dyDescent="0.25">
      <c r="A15"/>
      <c r="D15" s="150"/>
      <c r="E15" s="150"/>
      <c r="F15" s="41"/>
      <c r="G15" s="153"/>
      <c r="H15" s="153"/>
      <c r="J15" s="154"/>
      <c r="K15" s="154"/>
      <c r="M15" s="134"/>
      <c r="N15" s="134"/>
      <c r="P15" s="134"/>
      <c r="Q15" s="134"/>
      <c r="S15" s="140"/>
      <c r="T15" s="140"/>
      <c r="V15" s="40"/>
      <c r="W15" s="40"/>
      <c r="Y15" s="41"/>
      <c r="Z15" s="41"/>
      <c r="AK15" s="130"/>
      <c r="AL15" s="130"/>
      <c r="AM15" s="40"/>
      <c r="AN15" s="40"/>
      <c r="AO15" s="40"/>
      <c r="AP15" s="40"/>
      <c r="AQ15" s="145"/>
      <c r="AR15" s="145"/>
      <c r="AS15" s="40"/>
      <c r="AT15" s="146"/>
      <c r="AU15" s="146"/>
      <c r="AV15" s="40"/>
      <c r="AW15" s="76"/>
      <c r="AX15" s="76"/>
      <c r="AY15" s="42"/>
      <c r="AZ15" s="42"/>
      <c r="BA15" s="42"/>
      <c r="BB15" s="42"/>
      <c r="BC15" s="76"/>
      <c r="BD15" s="76"/>
      <c r="BE15" s="42"/>
    </row>
    <row r="16" spans="1:57" x14ac:dyDescent="0.25">
      <c r="A16" s="167" t="s">
        <v>138</v>
      </c>
      <c r="B16" s="4"/>
      <c r="D16" s="149"/>
      <c r="E16" s="149"/>
      <c r="F16" s="41"/>
      <c r="G16" s="153"/>
      <c r="H16" s="153"/>
      <c r="J16" s="154"/>
      <c r="K16" s="154"/>
      <c r="M16" s="134"/>
      <c r="N16" s="134"/>
      <c r="P16" s="134"/>
      <c r="Q16" s="134"/>
      <c r="S16" s="140"/>
      <c r="T16" s="140"/>
      <c r="V16" s="40"/>
      <c r="W16" s="40"/>
      <c r="Y16" s="41"/>
      <c r="Z16" s="41"/>
      <c r="AK16" s="130"/>
      <c r="AL16" s="130"/>
      <c r="AM16" s="40"/>
      <c r="AN16" s="40"/>
      <c r="AO16" s="40"/>
      <c r="AP16" s="40"/>
      <c r="AQ16" s="145"/>
      <c r="AR16" s="145"/>
      <c r="AS16" s="40"/>
      <c r="AT16" s="146"/>
      <c r="AU16" s="146"/>
      <c r="AV16" s="40"/>
      <c r="AW16" s="76"/>
      <c r="AX16" s="76"/>
      <c r="AY16" s="42"/>
      <c r="AZ16" s="42"/>
      <c r="BA16" s="42"/>
      <c r="BB16" s="42"/>
      <c r="BC16" s="76"/>
      <c r="BD16" s="76"/>
      <c r="BE16" s="42"/>
    </row>
    <row r="17" spans="1:57" x14ac:dyDescent="0.25">
      <c r="A17" t="s">
        <v>133</v>
      </c>
      <c r="D17" s="162">
        <v>75.599999999999994</v>
      </c>
      <c r="E17" s="162">
        <v>108.07</v>
      </c>
      <c r="F17" s="81"/>
      <c r="G17" s="153">
        <f t="shared" ref="G17:H20" si="44">D17*SUM(1+$G$1/$Y$1)</f>
        <v>89.51039999999999</v>
      </c>
      <c r="H17" s="153">
        <f t="shared" si="44"/>
        <v>127.95487999999999</v>
      </c>
      <c r="I17" s="83"/>
      <c r="J17" s="155">
        <f t="shared" ref="J17:K20" si="45">G17-D17</f>
        <v>13.910399999999996</v>
      </c>
      <c r="K17" s="155">
        <f t="shared" si="45"/>
        <v>19.884879999999995</v>
      </c>
      <c r="L17" s="83"/>
      <c r="M17" s="134">
        <f>ROUND(D17*(1+$G$1*2),2)*SUM(1+$M$1)</f>
        <v>98.461000000000013</v>
      </c>
      <c r="N17" s="134">
        <f>ROUND(E17*(1+$G$1*2),2)*SUM(1+$M$1)</f>
        <v>140.745</v>
      </c>
      <c r="P17" s="134">
        <f t="shared" ref="P17:Q20" si="46">M17-D17</f>
        <v>22.861000000000018</v>
      </c>
      <c r="Q17" s="134">
        <f t="shared" si="46"/>
        <v>32.675000000000011</v>
      </c>
      <c r="S17" s="141">
        <f t="shared" ref="S17:T20" si="47">AK17/G17</f>
        <v>9.9988381238381246E-2</v>
      </c>
      <c r="T17" s="141">
        <f t="shared" si="47"/>
        <v>0.10003526243000659</v>
      </c>
      <c r="V17" s="41">
        <f t="shared" ref="V17:W20" si="48">SUM(D17/(1-$Y$1))</f>
        <v>151.19999999999999</v>
      </c>
      <c r="W17" s="41">
        <f t="shared" si="48"/>
        <v>216.14</v>
      </c>
      <c r="Y17" s="41">
        <f>ROUND(D17/(1-$Y$1)*1.2,2)</f>
        <v>181.44</v>
      </c>
      <c r="Z17" s="41">
        <f>ROUND(E17/(1-$Y$1)*1.2,2)</f>
        <v>259.37</v>
      </c>
      <c r="AB17" s="182">
        <f t="shared" ref="AB17:AB20" si="49">ROUNDDOWN(D17/(1-$Y$1)*1.2,1)</f>
        <v>181.4</v>
      </c>
      <c r="AC17" s="182">
        <f t="shared" ref="AC17:AC20" si="50">ROUNDDOWN(E17/(1-$Y$1)*1.2,1)</f>
        <v>259.3</v>
      </c>
      <c r="AE17" s="40">
        <f t="shared" ref="AE17:AE20" si="51">AB17/1.2</f>
        <v>151.16666666666669</v>
      </c>
      <c r="AF17" s="40">
        <f t="shared" ref="AF17:AF20" si="52">AC17/1.2</f>
        <v>216.08333333333334</v>
      </c>
      <c r="AH17" s="40">
        <f t="shared" ref="AH17:AH20" si="53">Y17-AB17</f>
        <v>3.9999999999992042E-2</v>
      </c>
      <c r="AI17" s="40">
        <f t="shared" ref="AI17:AI20" si="54">Z17-AC17</f>
        <v>6.9999999999993179E-2</v>
      </c>
      <c r="AK17" s="130">
        <f t="shared" ref="AK17:AL20" si="55">ROUND(M17*(1-(1/(1+$AL$1))),2)</f>
        <v>8.9499999999999993</v>
      </c>
      <c r="AL17" s="130">
        <f t="shared" si="55"/>
        <v>12.8</v>
      </c>
      <c r="AM17" s="40"/>
      <c r="AN17" s="40">
        <f t="shared" ref="AN17:AN20" si="56">SUM(V17-G17)-AH17</f>
        <v>61.649600000000007</v>
      </c>
      <c r="AO17" s="40">
        <f t="shared" ref="AO17:AO20" si="57">SUM(W17-H17)-AI17</f>
        <v>88.115120000000005</v>
      </c>
      <c r="AP17" s="40"/>
      <c r="AQ17" s="144">
        <f t="shared" ref="AQ17:AR20" si="58">(SUM(G17-D17)/D17*$Y$1)</f>
        <v>9.1999999999999985E-2</v>
      </c>
      <c r="AR17" s="144">
        <f t="shared" si="58"/>
        <v>9.1999999999999985E-2</v>
      </c>
      <c r="AS17" s="40"/>
      <c r="AT17" s="146">
        <f t="shared" ref="AT17:AU20" si="59">AN17/V17</f>
        <v>0.40773544973544978</v>
      </c>
      <c r="AU17" s="146">
        <f t="shared" si="59"/>
        <v>0.40767613583788292</v>
      </c>
      <c r="AV17" s="40"/>
      <c r="AW17" s="76">
        <f t="shared" ref="AW17:AX20" si="60">D17/V17</f>
        <v>0.5</v>
      </c>
      <c r="AX17" s="76">
        <f t="shared" si="60"/>
        <v>0.5</v>
      </c>
      <c r="AY17" s="42"/>
      <c r="AZ17" s="42">
        <f t="shared" ref="AZ17:BA20" si="61">J17+AN17</f>
        <v>75.56</v>
      </c>
      <c r="BA17" s="42">
        <f t="shared" si="61"/>
        <v>108</v>
      </c>
      <c r="BB17" s="42"/>
      <c r="BC17" s="76">
        <f t="shared" ref="BC17:BD20" si="62">AZ17/(D17/$Y$1)</f>
        <v>0.49973544973544981</v>
      </c>
      <c r="BD17" s="76">
        <f t="shared" si="62"/>
        <v>0.4996761358378829</v>
      </c>
      <c r="BE17" s="42"/>
    </row>
    <row r="18" spans="1:57" x14ac:dyDescent="0.25">
      <c r="A18" t="s">
        <v>134</v>
      </c>
      <c r="D18" s="162">
        <v>113.4</v>
      </c>
      <c r="E18" s="162">
        <v>162.11000000000001</v>
      </c>
      <c r="F18" s="81"/>
      <c r="G18" s="153">
        <f t="shared" si="44"/>
        <v>134.26560000000001</v>
      </c>
      <c r="H18" s="153">
        <f t="shared" si="44"/>
        <v>191.93824000000001</v>
      </c>
      <c r="I18" s="83"/>
      <c r="J18" s="155">
        <f t="shared" si="45"/>
        <v>20.865600000000001</v>
      </c>
      <c r="K18" s="155">
        <f t="shared" si="45"/>
        <v>29.828239999999994</v>
      </c>
      <c r="L18" s="83"/>
      <c r="M18" s="134">
        <f t="shared" ref="M18:N20" si="63">ROUND(D18*(1+$G$1*2),2)*SUM(1+$M$1)</f>
        <v>147.69700000000003</v>
      </c>
      <c r="N18" s="134">
        <f t="shared" si="63"/>
        <v>211.13400000000001</v>
      </c>
      <c r="P18" s="134">
        <f t="shared" si="46"/>
        <v>34.297000000000025</v>
      </c>
      <c r="Q18" s="134">
        <f t="shared" si="46"/>
        <v>49.024000000000001</v>
      </c>
      <c r="S18" s="141">
        <f t="shared" si="47"/>
        <v>0.10002562085895418</v>
      </c>
      <c r="T18" s="141">
        <f t="shared" si="47"/>
        <v>9.998007692474413E-2</v>
      </c>
      <c r="V18" s="41">
        <f t="shared" si="48"/>
        <v>226.8</v>
      </c>
      <c r="W18" s="41">
        <f t="shared" si="48"/>
        <v>324.22000000000003</v>
      </c>
      <c r="Y18" s="41">
        <f t="shared" ref="Y18:Y20" si="64">ROUND(D18/(1-$Y$1)*1.2,2)</f>
        <v>272.16000000000003</v>
      </c>
      <c r="Z18" s="41">
        <f t="shared" ref="Z18:Z20" si="65">ROUND(E18/(1-$Y$1)*1.2,2)</f>
        <v>389.06</v>
      </c>
      <c r="AB18" s="182">
        <f t="shared" si="49"/>
        <v>272.10000000000002</v>
      </c>
      <c r="AC18" s="182">
        <f t="shared" si="50"/>
        <v>389</v>
      </c>
      <c r="AE18" s="40">
        <f t="shared" si="51"/>
        <v>226.75000000000003</v>
      </c>
      <c r="AF18" s="40">
        <f t="shared" si="52"/>
        <v>324.16666666666669</v>
      </c>
      <c r="AH18" s="40">
        <f t="shared" si="53"/>
        <v>6.0000000000002274E-2</v>
      </c>
      <c r="AI18" s="40">
        <f t="shared" si="54"/>
        <v>6.0000000000002274E-2</v>
      </c>
      <c r="AK18" s="130">
        <f t="shared" si="55"/>
        <v>13.43</v>
      </c>
      <c r="AL18" s="130">
        <f t="shared" si="55"/>
        <v>19.190000000000001</v>
      </c>
      <c r="AM18" s="40"/>
      <c r="AN18" s="40">
        <f t="shared" si="56"/>
        <v>92.474400000000003</v>
      </c>
      <c r="AO18" s="40">
        <f t="shared" si="57"/>
        <v>132.22176000000002</v>
      </c>
      <c r="AP18" s="40"/>
      <c r="AQ18" s="144">
        <f t="shared" si="58"/>
        <v>9.1999999999999998E-2</v>
      </c>
      <c r="AR18" s="144">
        <f t="shared" si="58"/>
        <v>9.1999999999999971E-2</v>
      </c>
      <c r="AS18" s="40"/>
      <c r="AT18" s="146">
        <f t="shared" si="59"/>
        <v>0.40773544973544973</v>
      </c>
      <c r="AU18" s="146">
        <f t="shared" si="59"/>
        <v>0.40781494047251871</v>
      </c>
      <c r="AV18" s="40"/>
      <c r="AW18" s="76">
        <f t="shared" si="60"/>
        <v>0.5</v>
      </c>
      <c r="AX18" s="76">
        <f t="shared" si="60"/>
        <v>0.5</v>
      </c>
      <c r="AY18" s="42"/>
      <c r="AZ18" s="42">
        <f t="shared" si="61"/>
        <v>113.34</v>
      </c>
      <c r="BA18" s="42">
        <f t="shared" si="61"/>
        <v>162.05000000000001</v>
      </c>
      <c r="BB18" s="42"/>
      <c r="BC18" s="76">
        <f t="shared" si="62"/>
        <v>0.4997354497354497</v>
      </c>
      <c r="BD18" s="76">
        <f t="shared" si="62"/>
        <v>0.49981494047251868</v>
      </c>
      <c r="BE18" s="42"/>
    </row>
    <row r="19" spans="1:57" x14ac:dyDescent="0.25">
      <c r="A19" t="s">
        <v>135</v>
      </c>
      <c r="D19" s="162">
        <v>121.15</v>
      </c>
      <c r="E19" s="162">
        <v>176.45</v>
      </c>
      <c r="F19" s="81"/>
      <c r="G19" s="153">
        <f t="shared" si="44"/>
        <v>143.44159999999999</v>
      </c>
      <c r="H19" s="153">
        <f t="shared" si="44"/>
        <v>208.91679999999997</v>
      </c>
      <c r="J19" s="155">
        <f t="shared" si="45"/>
        <v>22.291599999999988</v>
      </c>
      <c r="K19" s="155">
        <f t="shared" si="45"/>
        <v>32.466799999999978</v>
      </c>
      <c r="M19" s="134">
        <f t="shared" si="63"/>
        <v>157.78400000000002</v>
      </c>
      <c r="N19" s="134">
        <f t="shared" si="63"/>
        <v>229.81200000000001</v>
      </c>
      <c r="P19" s="134">
        <f t="shared" si="46"/>
        <v>36.634000000000015</v>
      </c>
      <c r="Q19" s="134">
        <f t="shared" si="46"/>
        <v>53.362000000000023</v>
      </c>
      <c r="S19" s="141">
        <f t="shared" si="47"/>
        <v>9.9970998650321802E-2</v>
      </c>
      <c r="T19" s="141">
        <f t="shared" si="47"/>
        <v>9.9991958521286964E-2</v>
      </c>
      <c r="V19" s="41">
        <f t="shared" si="48"/>
        <v>242.3</v>
      </c>
      <c r="W19" s="41">
        <f t="shared" si="48"/>
        <v>352.9</v>
      </c>
      <c r="Y19" s="41">
        <f t="shared" si="64"/>
        <v>290.76</v>
      </c>
      <c r="Z19" s="41">
        <f t="shared" si="65"/>
        <v>423.48</v>
      </c>
      <c r="AB19" s="182">
        <f t="shared" si="49"/>
        <v>290.7</v>
      </c>
      <c r="AC19" s="182">
        <f t="shared" si="50"/>
        <v>423.4</v>
      </c>
      <c r="AE19" s="40">
        <f t="shared" si="51"/>
        <v>242.25</v>
      </c>
      <c r="AF19" s="40">
        <f t="shared" si="52"/>
        <v>352.83333333333331</v>
      </c>
      <c r="AH19" s="40">
        <f t="shared" si="53"/>
        <v>6.0000000000002274E-2</v>
      </c>
      <c r="AI19" s="40">
        <f t="shared" si="54"/>
        <v>8.0000000000040927E-2</v>
      </c>
      <c r="AK19" s="130">
        <f t="shared" si="55"/>
        <v>14.34</v>
      </c>
      <c r="AL19" s="130">
        <f t="shared" si="55"/>
        <v>20.89</v>
      </c>
      <c r="AM19" s="40"/>
      <c r="AN19" s="40">
        <f t="shared" si="56"/>
        <v>98.798400000000015</v>
      </c>
      <c r="AO19" s="40">
        <f t="shared" si="57"/>
        <v>143.90319999999997</v>
      </c>
      <c r="AP19" s="40"/>
      <c r="AQ19" s="144">
        <f t="shared" si="58"/>
        <v>9.1999999999999943E-2</v>
      </c>
      <c r="AR19" s="144">
        <f t="shared" si="58"/>
        <v>9.1999999999999943E-2</v>
      </c>
      <c r="AS19" s="40"/>
      <c r="AT19" s="146">
        <f t="shared" si="59"/>
        <v>0.40775237309120926</v>
      </c>
      <c r="AU19" s="146">
        <f t="shared" si="59"/>
        <v>0.40777330688580327</v>
      </c>
      <c r="AV19" s="40"/>
      <c r="AW19" s="76">
        <f t="shared" si="60"/>
        <v>0.5</v>
      </c>
      <c r="AX19" s="76">
        <f t="shared" si="60"/>
        <v>0.5</v>
      </c>
      <c r="AY19" s="42"/>
      <c r="AZ19" s="42">
        <f t="shared" si="61"/>
        <v>121.09</v>
      </c>
      <c r="BA19" s="42">
        <f t="shared" si="61"/>
        <v>176.36999999999995</v>
      </c>
      <c r="BB19" s="42"/>
      <c r="BC19" s="76">
        <f t="shared" si="62"/>
        <v>0.49975237309120923</v>
      </c>
      <c r="BD19" s="76">
        <f t="shared" si="62"/>
        <v>0.49977330688580324</v>
      </c>
      <c r="BE19" s="42"/>
    </row>
    <row r="20" spans="1:57" x14ac:dyDescent="0.25">
      <c r="A20" t="s">
        <v>136</v>
      </c>
      <c r="D20" s="162">
        <v>131.51</v>
      </c>
      <c r="E20" s="162">
        <v>189.19</v>
      </c>
      <c r="F20" s="81"/>
      <c r="G20" s="153">
        <f t="shared" si="44"/>
        <v>155.70783999999998</v>
      </c>
      <c r="H20" s="153">
        <f t="shared" si="44"/>
        <v>224.00095999999999</v>
      </c>
      <c r="J20" s="155">
        <f t="shared" si="45"/>
        <v>24.197839999999985</v>
      </c>
      <c r="K20" s="155">
        <f t="shared" si="45"/>
        <v>34.810959999999994</v>
      </c>
      <c r="M20" s="134">
        <f t="shared" si="63"/>
        <v>171.28100000000003</v>
      </c>
      <c r="N20" s="134">
        <f t="shared" si="63"/>
        <v>246.40000000000003</v>
      </c>
      <c r="P20" s="134">
        <f t="shared" si="46"/>
        <v>39.771000000000043</v>
      </c>
      <c r="Q20" s="134">
        <f t="shared" si="46"/>
        <v>57.210000000000036</v>
      </c>
      <c r="S20" s="141">
        <f t="shared" si="47"/>
        <v>9.999496492919048E-2</v>
      </c>
      <c r="T20" s="141">
        <f t="shared" si="47"/>
        <v>9.9999571430408149E-2</v>
      </c>
      <c r="V20" s="41">
        <f t="shared" si="48"/>
        <v>263.02</v>
      </c>
      <c r="W20" s="41">
        <f t="shared" si="48"/>
        <v>378.38</v>
      </c>
      <c r="Y20" s="41">
        <f t="shared" si="64"/>
        <v>315.62</v>
      </c>
      <c r="Z20" s="41">
        <f t="shared" si="65"/>
        <v>454.06</v>
      </c>
      <c r="AB20" s="182">
        <f t="shared" si="49"/>
        <v>315.60000000000002</v>
      </c>
      <c r="AC20" s="182">
        <f t="shared" si="50"/>
        <v>454</v>
      </c>
      <c r="AE20" s="40">
        <f t="shared" si="51"/>
        <v>263.00000000000006</v>
      </c>
      <c r="AF20" s="40">
        <f t="shared" si="52"/>
        <v>378.33333333333337</v>
      </c>
      <c r="AH20" s="40">
        <f t="shared" si="53"/>
        <v>1.999999999998181E-2</v>
      </c>
      <c r="AI20" s="40">
        <f t="shared" si="54"/>
        <v>6.0000000000002274E-2</v>
      </c>
      <c r="AK20" s="130">
        <f t="shared" si="55"/>
        <v>15.57</v>
      </c>
      <c r="AL20" s="130">
        <f t="shared" si="55"/>
        <v>22.4</v>
      </c>
      <c r="AM20" s="40"/>
      <c r="AN20" s="40">
        <f t="shared" si="56"/>
        <v>107.29216000000002</v>
      </c>
      <c r="AO20" s="40">
        <f t="shared" si="57"/>
        <v>154.31904</v>
      </c>
      <c r="AP20" s="40"/>
      <c r="AQ20" s="144">
        <f t="shared" si="58"/>
        <v>9.1999999999999943E-2</v>
      </c>
      <c r="AR20" s="144">
        <f t="shared" si="58"/>
        <v>9.1999999999999985E-2</v>
      </c>
      <c r="AS20" s="40"/>
      <c r="AT20" s="146">
        <f t="shared" si="59"/>
        <v>0.40792396015512139</v>
      </c>
      <c r="AU20" s="146">
        <f t="shared" si="59"/>
        <v>0.40784142925101752</v>
      </c>
      <c r="AV20" s="40"/>
      <c r="AW20" s="76">
        <f t="shared" si="60"/>
        <v>0.5</v>
      </c>
      <c r="AX20" s="76">
        <f t="shared" si="60"/>
        <v>0.5</v>
      </c>
      <c r="AY20" s="42"/>
      <c r="AZ20" s="42">
        <f t="shared" si="61"/>
        <v>131.49</v>
      </c>
      <c r="BA20" s="42">
        <f t="shared" si="61"/>
        <v>189.13</v>
      </c>
      <c r="BB20" s="42"/>
      <c r="BC20" s="76">
        <f t="shared" si="62"/>
        <v>0.49992396015512136</v>
      </c>
      <c r="BD20" s="76">
        <f t="shared" si="62"/>
        <v>0.49984142925101749</v>
      </c>
      <c r="BE20" s="42"/>
    </row>
    <row r="21" spans="1:57" x14ac:dyDescent="0.25">
      <c r="C21" s="104"/>
      <c r="D21" s="104"/>
      <c r="H21" s="40"/>
      <c r="I21" s="75"/>
      <c r="J21" s="75"/>
      <c r="K21" s="75"/>
      <c r="L21" s="75"/>
      <c r="V21" s="40"/>
      <c r="X21" s="41"/>
      <c r="Y21" s="40"/>
      <c r="Z21" s="40"/>
      <c r="AK21" s="76"/>
      <c r="AL21" s="76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76"/>
      <c r="AX21" s="76"/>
      <c r="AY21" s="42"/>
      <c r="AZ21" s="42"/>
      <c r="BA21" s="42"/>
      <c r="BB21" s="42"/>
      <c r="BC21" s="76"/>
      <c r="BD21" s="76"/>
      <c r="BE21" s="40"/>
    </row>
    <row r="22" spans="1:57" x14ac:dyDescent="0.25">
      <c r="A22" s="4" t="s">
        <v>139</v>
      </c>
      <c r="X22" s="41"/>
      <c r="Y22" s="40"/>
      <c r="Z22" s="40"/>
      <c r="AK22" s="76"/>
      <c r="AL22" s="76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76"/>
      <c r="AX22" s="76"/>
      <c r="AY22" s="42"/>
      <c r="AZ22" s="42"/>
      <c r="BA22" s="42"/>
      <c r="BB22" s="42"/>
      <c r="BC22" s="76"/>
      <c r="BD22" s="76"/>
      <c r="BE22" s="40"/>
    </row>
    <row r="23" spans="1:57" x14ac:dyDescent="0.25">
      <c r="A23" s="53"/>
      <c r="X23" s="41"/>
      <c r="Y23" s="40"/>
      <c r="Z23" s="40"/>
      <c r="AK23" s="76"/>
      <c r="AL23" s="76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76"/>
      <c r="AX23" s="76"/>
      <c r="AY23" s="42"/>
      <c r="AZ23" s="42"/>
      <c r="BA23" s="42"/>
      <c r="BB23" s="42"/>
      <c r="BC23" s="76"/>
      <c r="BD23" s="76"/>
      <c r="BE23" s="40"/>
    </row>
    <row r="24" spans="1:57" x14ac:dyDescent="0.25">
      <c r="A24" s="100" t="s">
        <v>132</v>
      </c>
      <c r="B24" s="52" t="s">
        <v>140</v>
      </c>
      <c r="D24" s="55" t="s">
        <v>141</v>
      </c>
      <c r="E24" s="55"/>
      <c r="F24" s="55"/>
    </row>
    <row r="25" spans="1:57" x14ac:dyDescent="0.25">
      <c r="A25" s="100" t="s">
        <v>137</v>
      </c>
      <c r="B25" s="52" t="s">
        <v>140</v>
      </c>
      <c r="F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</row>
    <row r="26" spans="1:57" x14ac:dyDescent="0.25">
      <c r="A26" s="100" t="s">
        <v>142</v>
      </c>
      <c r="B26" s="52" t="s">
        <v>140</v>
      </c>
      <c r="F26" s="40"/>
      <c r="G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</row>
    <row r="27" spans="1:57" x14ac:dyDescent="0.25">
      <c r="F27" s="40"/>
      <c r="G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</row>
    <row r="28" spans="1:57" ht="30" x14ac:dyDescent="0.25">
      <c r="A28" s="99" t="s">
        <v>143</v>
      </c>
      <c r="B28" s="52" t="s">
        <v>144</v>
      </c>
      <c r="F28" s="40"/>
      <c r="G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</row>
    <row r="29" spans="1:57" x14ac:dyDescent="0.25">
      <c r="G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</row>
    <row r="30" spans="1:57" ht="45" customHeight="1" x14ac:dyDescent="0.25">
      <c r="A30" s="159" t="s">
        <v>145</v>
      </c>
      <c r="B30" s="246" t="s">
        <v>146</v>
      </c>
      <c r="C30" s="246"/>
      <c r="D30" s="246"/>
      <c r="E30" s="246"/>
      <c r="F30" s="99"/>
      <c r="AA30" s="40"/>
      <c r="AB30" s="40"/>
      <c r="AC30" s="40"/>
      <c r="AD30" s="40"/>
      <c r="AE30" s="40"/>
      <c r="AF30" s="40"/>
      <c r="AG30" s="40"/>
      <c r="AH30" s="40"/>
      <c r="AI30" s="40"/>
      <c r="AJ30" s="40"/>
    </row>
    <row r="31" spans="1:57" ht="45" customHeight="1" x14ac:dyDescent="0.25">
      <c r="A31" s="159" t="s">
        <v>147</v>
      </c>
      <c r="B31" s="246" t="s">
        <v>148</v>
      </c>
      <c r="C31" s="246"/>
      <c r="D31" s="246"/>
      <c r="E31" s="246"/>
      <c r="F31" s="246"/>
      <c r="AA31" s="40"/>
      <c r="AB31" s="40"/>
      <c r="AC31" s="40"/>
      <c r="AD31" s="40"/>
      <c r="AE31" s="40"/>
      <c r="AF31" s="40"/>
      <c r="AG31" s="40"/>
      <c r="AH31" s="40"/>
      <c r="AI31" s="40"/>
      <c r="AJ31" s="40"/>
    </row>
    <row r="32" spans="1:57" x14ac:dyDescent="0.25"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</row>
    <row r="33" spans="1:57" x14ac:dyDescent="0.25">
      <c r="A33" s="100" t="s">
        <v>149</v>
      </c>
      <c r="B33" s="101" t="s">
        <v>150</v>
      </c>
      <c r="C33" s="52"/>
      <c r="AA33" s="40"/>
      <c r="AB33" s="40"/>
      <c r="AC33" s="40"/>
      <c r="AD33" s="40"/>
      <c r="AE33" s="40"/>
      <c r="AF33" s="40"/>
      <c r="AG33" s="40"/>
      <c r="AH33" s="40"/>
      <c r="AI33" s="40"/>
      <c r="AJ33" s="40"/>
    </row>
    <row r="34" spans="1:57" x14ac:dyDescent="0.25">
      <c r="A34" s="100" t="s">
        <v>151</v>
      </c>
      <c r="B34" s="101" t="s">
        <v>152</v>
      </c>
      <c r="C34" s="52"/>
    </row>
    <row r="35" spans="1:57" x14ac:dyDescent="0.25">
      <c r="A35" s="100" t="s">
        <v>153</v>
      </c>
      <c r="B35" s="101" t="s">
        <v>154</v>
      </c>
      <c r="C35" s="52"/>
    </row>
    <row r="36" spans="1:57" s="96" customFormat="1" ht="45" customHeight="1" x14ac:dyDescent="0.25">
      <c r="D36" s="244" t="s">
        <v>128</v>
      </c>
      <c r="E36" s="244"/>
      <c r="F36" s="95"/>
      <c r="G36" s="245" t="s">
        <v>3</v>
      </c>
      <c r="H36" s="245"/>
      <c r="I36" s="18"/>
      <c r="J36" s="245" t="s">
        <v>4</v>
      </c>
      <c r="K36" s="245"/>
      <c r="L36" s="18"/>
      <c r="M36" s="219" t="s">
        <v>5</v>
      </c>
      <c r="N36" s="219"/>
      <c r="O36" s="18"/>
      <c r="P36" s="219" t="s">
        <v>6</v>
      </c>
      <c r="Q36" s="219"/>
      <c r="R36" s="18"/>
      <c r="S36" s="219" t="s">
        <v>7</v>
      </c>
      <c r="T36" s="219"/>
      <c r="U36" s="18"/>
      <c r="V36" s="214" t="s">
        <v>8</v>
      </c>
      <c r="W36" s="214"/>
      <c r="X36" s="52"/>
      <c r="Y36" s="211" t="s">
        <v>9</v>
      </c>
      <c r="Z36" s="211"/>
      <c r="AA36" s="1"/>
      <c r="AB36" s="215" t="s">
        <v>10</v>
      </c>
      <c r="AC36" s="215"/>
      <c r="AD36" s="1"/>
      <c r="AE36" s="211" t="s">
        <v>11</v>
      </c>
      <c r="AF36" s="211"/>
      <c r="AG36" s="1"/>
      <c r="AH36" s="211" t="s">
        <v>12</v>
      </c>
      <c r="AI36" s="211"/>
      <c r="AJ36" s="1"/>
      <c r="AK36" s="211" t="s">
        <v>13</v>
      </c>
      <c r="AL36" s="211"/>
      <c r="AM36" s="1"/>
      <c r="AN36" s="211" t="s">
        <v>14</v>
      </c>
      <c r="AO36" s="211"/>
      <c r="AP36" s="1"/>
      <c r="AQ36" s="212" t="s">
        <v>15</v>
      </c>
      <c r="AR36" s="212"/>
      <c r="AS36" s="1"/>
      <c r="AT36" s="211" t="s">
        <v>16</v>
      </c>
      <c r="AU36" s="211"/>
      <c r="AV36" s="1"/>
      <c r="AW36" s="213" t="s">
        <v>17</v>
      </c>
      <c r="AX36" s="213"/>
      <c r="AY36" s="1"/>
      <c r="AZ36" s="213" t="s">
        <v>18</v>
      </c>
      <c r="BA36" s="213"/>
      <c r="BB36" s="1"/>
      <c r="BC36" s="213" t="s">
        <v>129</v>
      </c>
      <c r="BD36" s="213"/>
      <c r="BE36" s="1"/>
    </row>
    <row r="37" spans="1:57" s="96" customFormat="1" ht="45" customHeight="1" x14ac:dyDescent="0.25">
      <c r="D37" s="195" t="s">
        <v>130</v>
      </c>
      <c r="E37" s="147" t="s">
        <v>131</v>
      </c>
      <c r="F37" s="35"/>
      <c r="G37" s="151" t="s">
        <v>130</v>
      </c>
      <c r="H37" s="152" t="s">
        <v>131</v>
      </c>
      <c r="I37" s="52"/>
      <c r="J37" s="151" t="s">
        <v>130</v>
      </c>
      <c r="K37" s="152" t="s">
        <v>131</v>
      </c>
      <c r="L37" s="52"/>
      <c r="M37" s="132" t="s">
        <v>130</v>
      </c>
      <c r="N37" s="133" t="s">
        <v>131</v>
      </c>
      <c r="O37" s="52"/>
      <c r="P37" s="132" t="s">
        <v>130</v>
      </c>
      <c r="Q37" s="133" t="s">
        <v>131</v>
      </c>
      <c r="R37" s="52"/>
      <c r="S37" s="132" t="s">
        <v>130</v>
      </c>
      <c r="T37" s="133" t="s">
        <v>131</v>
      </c>
      <c r="U37" s="52"/>
      <c r="V37" s="96" t="s">
        <v>130</v>
      </c>
      <c r="W37" s="95" t="s">
        <v>131</v>
      </c>
      <c r="X37" s="52"/>
      <c r="Y37" s="96" t="s">
        <v>130</v>
      </c>
      <c r="Z37" s="95" t="s">
        <v>131</v>
      </c>
      <c r="AA37" s="52"/>
      <c r="AB37" s="96" t="s">
        <v>130</v>
      </c>
      <c r="AC37" s="95" t="s">
        <v>131</v>
      </c>
      <c r="AD37" s="52"/>
      <c r="AE37" s="96" t="s">
        <v>130</v>
      </c>
      <c r="AF37" s="95" t="s">
        <v>131</v>
      </c>
      <c r="AG37" s="34"/>
      <c r="AH37" s="96" t="s">
        <v>130</v>
      </c>
      <c r="AI37" s="95" t="s">
        <v>131</v>
      </c>
      <c r="AJ37" s="52"/>
      <c r="AK37" s="128" t="s">
        <v>130</v>
      </c>
      <c r="AL37" s="129" t="s">
        <v>131</v>
      </c>
      <c r="AM37" s="52"/>
      <c r="AN37" s="96" t="s">
        <v>130</v>
      </c>
      <c r="AO37" s="95" t="s">
        <v>131</v>
      </c>
      <c r="AP37" s="52"/>
      <c r="AQ37" s="196" t="s">
        <v>130</v>
      </c>
      <c r="AR37" s="142" t="s">
        <v>131</v>
      </c>
      <c r="AS37" s="52"/>
      <c r="AT37" s="197" t="s">
        <v>130</v>
      </c>
      <c r="AU37" s="129" t="s">
        <v>131</v>
      </c>
      <c r="AV37" s="52"/>
      <c r="AW37" s="96" t="s">
        <v>130</v>
      </c>
      <c r="AX37" s="95" t="s">
        <v>131</v>
      </c>
      <c r="AY37" s="52"/>
      <c r="AZ37" s="96" t="s">
        <v>130</v>
      </c>
      <c r="BA37" s="95" t="s">
        <v>131</v>
      </c>
      <c r="BB37" s="52"/>
      <c r="BC37" s="139" t="s">
        <v>130</v>
      </c>
      <c r="BD37" s="95" t="s">
        <v>131</v>
      </c>
      <c r="BE37" s="1"/>
    </row>
    <row r="38" spans="1:57" x14ac:dyDescent="0.25">
      <c r="A38" s="1" t="s">
        <v>85</v>
      </c>
      <c r="B38" s="45"/>
      <c r="D38" s="162">
        <v>2.04</v>
      </c>
      <c r="E38" s="162">
        <v>4.08</v>
      </c>
      <c r="F38" s="81"/>
      <c r="G38" s="153">
        <f>D38*SUM(1+$G$1/$Y$1)</f>
        <v>2.4153599999999997</v>
      </c>
      <c r="H38" s="153">
        <f>E38*SUM(1+$G$1/$Y$1)</f>
        <v>4.8307199999999995</v>
      </c>
      <c r="J38" s="155">
        <f t="shared" ref="J38:K38" si="66">G38-D38</f>
        <v>0.37535999999999969</v>
      </c>
      <c r="K38" s="155">
        <f t="shared" si="66"/>
        <v>0.75071999999999939</v>
      </c>
      <c r="L38" s="41"/>
      <c r="M38" s="161">
        <f t="shared" ref="M38:N38" si="67">ROUND(D38*(1+$G$1*2),2)*SUM(1+$M$1)</f>
        <v>2.6619999999999999</v>
      </c>
      <c r="N38" s="161">
        <f t="shared" si="67"/>
        <v>5.3130000000000006</v>
      </c>
      <c r="P38" s="134">
        <f t="shared" ref="P38:Q40" si="68">M38-D38</f>
        <v>0.62199999999999989</v>
      </c>
      <c r="Q38" s="134">
        <f t="shared" si="68"/>
        <v>1.2330000000000005</v>
      </c>
      <c r="S38" s="141">
        <f>AK38/G38</f>
        <v>9.9364069952305248E-2</v>
      </c>
      <c r="T38" s="141">
        <f>AL38/H38</f>
        <v>9.9364069952305248E-2</v>
      </c>
      <c r="V38" s="41">
        <f>SUM(D38/(1-$Y$1))</f>
        <v>4.08</v>
      </c>
      <c r="W38" s="41">
        <f>SUM(E38/(1-$Y$1))</f>
        <v>8.16</v>
      </c>
      <c r="Y38" s="41">
        <f t="shared" ref="Y38" si="69">ROUND(D38/(1-$Y$1)*1.2,2)</f>
        <v>4.9000000000000004</v>
      </c>
      <c r="Z38" s="41">
        <f t="shared" ref="Z38" si="70">ROUND(E38/(1-$Y$1)*1.2,2)</f>
        <v>9.7899999999999991</v>
      </c>
      <c r="AB38" s="182">
        <f t="shared" ref="AB38:AB40" si="71">ROUNDDOWN(D38/(1-$Y$1)*1.2,1)</f>
        <v>4.8</v>
      </c>
      <c r="AC38" s="182">
        <f t="shared" ref="AC38:AC40" si="72">ROUNDDOWN(E38/(1-$Y$1)*1.2,1)</f>
        <v>9.6999999999999993</v>
      </c>
      <c r="AE38" s="40">
        <f t="shared" ref="AE38:AE40" si="73">AB38/1.2</f>
        <v>4</v>
      </c>
      <c r="AF38" s="40">
        <f t="shared" ref="AF38:AF40" si="74">AC38/1.2</f>
        <v>8.0833333333333339</v>
      </c>
      <c r="AH38" s="40">
        <f t="shared" ref="AH38:AH40" si="75">Y38-AB38</f>
        <v>0.10000000000000053</v>
      </c>
      <c r="AI38" s="40">
        <f t="shared" ref="AI38:AI40" si="76">Z38-AC38</f>
        <v>8.9999999999999858E-2</v>
      </c>
      <c r="AK38" s="130">
        <f>ROUND(M38*(1-(1/(1+$AL$1))),2)</f>
        <v>0.24</v>
      </c>
      <c r="AL38" s="130">
        <f>ROUND(N38*(1-(1/(1+$AL$1))),2)</f>
        <v>0.48</v>
      </c>
      <c r="AM38" s="40"/>
      <c r="AN38" s="40">
        <f t="shared" ref="AN38:AN40" si="77">SUM(V38-G38)-AH38</f>
        <v>1.5646399999999998</v>
      </c>
      <c r="AO38" s="40">
        <f t="shared" ref="AO38:AO40" si="78">SUM(W38-H38)-AI38</f>
        <v>3.2392800000000008</v>
      </c>
      <c r="AP38" s="40"/>
      <c r="AQ38" s="144">
        <f>(SUM(G38-D38)/D38*$Y$1)</f>
        <v>9.1999999999999929E-2</v>
      </c>
      <c r="AR38" s="144">
        <f>(SUM(H38-E38)/E38*$Y$1)</f>
        <v>9.1999999999999929E-2</v>
      </c>
      <c r="AS38" s="40"/>
      <c r="AT38" s="146">
        <f>AN38/V38</f>
        <v>0.38349019607843132</v>
      </c>
      <c r="AU38" s="146">
        <f>AO38/W38</f>
        <v>0.39697058823529419</v>
      </c>
      <c r="AV38" s="40"/>
      <c r="AW38" s="76">
        <f>D38/V38</f>
        <v>0.5</v>
      </c>
      <c r="AX38" s="76">
        <f>E38/W38</f>
        <v>0.5</v>
      </c>
      <c r="AY38" s="42"/>
      <c r="AZ38" s="42">
        <f>J38+AN38</f>
        <v>1.9399999999999995</v>
      </c>
      <c r="BA38" s="42">
        <f>K38+AO38</f>
        <v>3.99</v>
      </c>
      <c r="BB38" s="42"/>
      <c r="BC38" s="76">
        <f>AZ38/(D38/$Y$1)</f>
        <v>0.47549019607843124</v>
      </c>
      <c r="BD38" s="76">
        <f>BA38/(E38/$Y$1)</f>
        <v>0.48897058823529416</v>
      </c>
      <c r="BE38" s="42"/>
    </row>
    <row r="39" spans="1:57" x14ac:dyDescent="0.25">
      <c r="B39" s="45"/>
      <c r="D39" s="149"/>
      <c r="E39" s="149"/>
      <c r="F39" s="81"/>
      <c r="G39" s="153"/>
      <c r="H39" s="153"/>
      <c r="J39" s="155"/>
      <c r="K39" s="155"/>
      <c r="L39" s="41"/>
      <c r="M39" s="161"/>
      <c r="N39" s="161"/>
      <c r="P39" s="134"/>
      <c r="Q39" s="134"/>
      <c r="S39" s="141"/>
      <c r="T39" s="141"/>
      <c r="V39" s="41"/>
      <c r="W39" s="41"/>
      <c r="Y39" s="41"/>
      <c r="Z39" s="41"/>
      <c r="AB39" s="182"/>
      <c r="AC39" s="182"/>
      <c r="AE39" s="40"/>
      <c r="AF39" s="40"/>
      <c r="AH39" s="40"/>
      <c r="AI39" s="40"/>
      <c r="AK39" s="130"/>
      <c r="AL39" s="130"/>
      <c r="AM39" s="40"/>
      <c r="AN39" s="40"/>
      <c r="AO39" s="40"/>
      <c r="AP39" s="40"/>
      <c r="AQ39" s="144"/>
      <c r="AR39" s="144"/>
      <c r="AS39" s="40"/>
      <c r="AT39" s="146"/>
      <c r="AU39" s="146"/>
      <c r="AV39" s="40"/>
      <c r="AW39" s="76"/>
      <c r="AX39" s="76"/>
      <c r="AY39" s="42"/>
      <c r="AZ39" s="42"/>
      <c r="BA39" s="42"/>
      <c r="BB39" s="42"/>
      <c r="BC39" s="76"/>
      <c r="BD39" s="76"/>
      <c r="BE39" s="42"/>
    </row>
    <row r="40" spans="1:57" ht="39.950000000000003" customHeight="1" x14ac:dyDescent="0.25">
      <c r="A40" s="247" t="s">
        <v>63</v>
      </c>
      <c r="B40" s="247"/>
      <c r="C40" s="247"/>
      <c r="D40" s="162">
        <v>16.97</v>
      </c>
      <c r="E40" s="162">
        <v>16.97</v>
      </c>
      <c r="F40" s="81"/>
      <c r="G40" s="153">
        <f>D40*SUM(1+$G$1/$Y$1)</f>
        <v>20.092479999999998</v>
      </c>
      <c r="H40" s="153">
        <f>E40*SUM(1+$G$1/$Y$1)</f>
        <v>20.092479999999998</v>
      </c>
      <c r="J40" s="155">
        <f t="shared" ref="J40:K40" si="79">G40-D40</f>
        <v>3.1224799999999995</v>
      </c>
      <c r="K40" s="155">
        <f t="shared" si="79"/>
        <v>3.1224799999999995</v>
      </c>
      <c r="L40" s="41"/>
      <c r="M40" s="161">
        <f t="shared" ref="M40:N40" si="80">ROUND(D40*(1+$G$1*2),2)*SUM(1+$M$1)</f>
        <v>22.099</v>
      </c>
      <c r="N40" s="161">
        <f t="shared" si="80"/>
        <v>22.099</v>
      </c>
      <c r="P40" s="134">
        <f t="shared" si="68"/>
        <v>5.1290000000000013</v>
      </c>
      <c r="Q40" s="134">
        <f t="shared" si="68"/>
        <v>5.1290000000000013</v>
      </c>
      <c r="S40" s="141">
        <f>AK40/G40</f>
        <v>0.10003742693783943</v>
      </c>
      <c r="T40" s="141">
        <f>AL40/H40</f>
        <v>0.10003742693783943</v>
      </c>
      <c r="V40" s="41">
        <f>SUM(D40/(1-$Y$1))</f>
        <v>33.94</v>
      </c>
      <c r="W40" s="41">
        <f>SUM(E40/(1-$Y$1))</f>
        <v>33.94</v>
      </c>
      <c r="Y40" s="41">
        <f t="shared" ref="Y40" si="81">ROUND(D40/(1-$Y$1)*1.2,2)</f>
        <v>40.729999999999997</v>
      </c>
      <c r="Z40" s="41">
        <f t="shared" ref="Z40" si="82">ROUND(E40/(1-$Y$1)*1.2,2)</f>
        <v>40.729999999999997</v>
      </c>
      <c r="AB40" s="182">
        <f t="shared" si="71"/>
        <v>40.700000000000003</v>
      </c>
      <c r="AC40" s="182">
        <f t="shared" si="72"/>
        <v>40.700000000000003</v>
      </c>
      <c r="AE40" s="40">
        <f t="shared" si="73"/>
        <v>33.916666666666671</v>
      </c>
      <c r="AF40" s="40">
        <f t="shared" si="74"/>
        <v>33.916666666666671</v>
      </c>
      <c r="AH40" s="40">
        <f t="shared" si="75"/>
        <v>2.9999999999994031E-2</v>
      </c>
      <c r="AI40" s="40">
        <f t="shared" si="76"/>
        <v>2.9999999999994031E-2</v>
      </c>
      <c r="AK40" s="130">
        <f t="shared" ref="AK40" si="83">ROUND(M40*(1-(1/(1+$AL$1))),2)</f>
        <v>2.0099999999999998</v>
      </c>
      <c r="AL40" s="130">
        <f>ROUND(N40*(1-(1/(1+$AL$1))),2)</f>
        <v>2.0099999999999998</v>
      </c>
      <c r="AM40" s="40"/>
      <c r="AN40" s="40">
        <f t="shared" si="77"/>
        <v>13.817520000000005</v>
      </c>
      <c r="AO40" s="40">
        <f t="shared" si="78"/>
        <v>13.817520000000005</v>
      </c>
      <c r="AP40" s="40"/>
      <c r="AQ40" s="144">
        <f>(SUM(G40-D40)/D40*$Y$1)</f>
        <v>9.1999999999999985E-2</v>
      </c>
      <c r="AR40" s="144">
        <f>(SUM(H40-E40)/E40*$Y$1)</f>
        <v>9.1999999999999985E-2</v>
      </c>
      <c r="AS40" s="40"/>
      <c r="AT40" s="146">
        <f>AN40/V40</f>
        <v>0.40711608721272852</v>
      </c>
      <c r="AU40" s="146">
        <f>AO40/W40</f>
        <v>0.40711608721272852</v>
      </c>
      <c r="AV40" s="40"/>
      <c r="AW40" s="76">
        <f>D40/V40</f>
        <v>0.5</v>
      </c>
      <c r="AX40" s="76">
        <f>E40/W40</f>
        <v>0.5</v>
      </c>
      <c r="AY40" s="42"/>
      <c r="AZ40" s="42">
        <f>J40+AN40</f>
        <v>16.940000000000005</v>
      </c>
      <c r="BA40" s="42">
        <f>K40+AO40</f>
        <v>16.940000000000005</v>
      </c>
      <c r="BB40" s="42"/>
      <c r="BC40" s="76">
        <f>AZ40/(D40/$Y$1)</f>
        <v>0.49911608721272854</v>
      </c>
      <c r="BD40" s="76">
        <f>BA40/(E40/$Y$1)</f>
        <v>0.49911608721272854</v>
      </c>
      <c r="BE40" s="42"/>
    </row>
    <row r="41" spans="1:57" x14ac:dyDescent="0.25">
      <c r="A41" s="52"/>
      <c r="B41" s="52"/>
      <c r="C41" s="98"/>
      <c r="D41" s="52"/>
      <c r="E41" s="52"/>
      <c r="F41" s="40"/>
    </row>
    <row r="42" spans="1:57" x14ac:dyDescent="0.25">
      <c r="A42" s="45" t="s">
        <v>64</v>
      </c>
      <c r="B42" s="45" t="s">
        <v>65</v>
      </c>
      <c r="C42" s="45" t="s">
        <v>92</v>
      </c>
    </row>
    <row r="43" spans="1:57" s="122" customFormat="1" ht="30" customHeight="1" x14ac:dyDescent="0.25">
      <c r="A43" s="120"/>
      <c r="B43" s="121" t="s">
        <v>67</v>
      </c>
      <c r="C43" s="248" t="s">
        <v>93</v>
      </c>
      <c r="D43" s="248"/>
      <c r="E43" s="248"/>
      <c r="F43" s="248"/>
      <c r="G43" s="248"/>
      <c r="H43" s="248"/>
      <c r="I43" s="248"/>
      <c r="J43" s="248"/>
      <c r="K43" s="248"/>
      <c r="L43" s="248"/>
      <c r="M43" s="248"/>
    </row>
    <row r="44" spans="1:57" s="122" customFormat="1" ht="30" customHeight="1" x14ac:dyDescent="0.25">
      <c r="A44" s="120"/>
      <c r="B44" s="121"/>
      <c r="C44" s="248"/>
      <c r="D44" s="248"/>
      <c r="E44" s="248"/>
      <c r="F44" s="248"/>
      <c r="G44" s="248"/>
      <c r="H44" s="248"/>
      <c r="I44" s="248"/>
      <c r="J44" s="248"/>
      <c r="K44" s="248"/>
      <c r="L44" s="248"/>
      <c r="M44" s="248"/>
    </row>
    <row r="45" spans="1:57" x14ac:dyDescent="0.25">
      <c r="B45" s="45" t="s">
        <v>69</v>
      </c>
      <c r="C45" s="45" t="s">
        <v>70</v>
      </c>
      <c r="G45" s="40"/>
    </row>
    <row r="46" spans="1:57" x14ac:dyDescent="0.25">
      <c r="B46" s="45" t="s">
        <v>71</v>
      </c>
      <c r="C46" s="45" t="s">
        <v>72</v>
      </c>
      <c r="G46" s="40"/>
    </row>
    <row r="47" spans="1:57" x14ac:dyDescent="0.25">
      <c r="A47" s="52"/>
      <c r="B47" s="52"/>
      <c r="C47" s="98"/>
      <c r="D47" s="52"/>
      <c r="E47" s="52"/>
      <c r="F47" s="40"/>
    </row>
    <row r="48" spans="1:57" x14ac:dyDescent="0.25">
      <c r="A48" s="46" t="s">
        <v>73</v>
      </c>
      <c r="B48" s="1" t="s">
        <v>74</v>
      </c>
      <c r="C48" s="46" t="s">
        <v>75</v>
      </c>
      <c r="D48" s="25"/>
      <c r="F48" s="47"/>
    </row>
    <row r="49" spans="1:12" x14ac:dyDescent="0.25">
      <c r="A49" s="25"/>
      <c r="B49" s="1" t="s">
        <v>76</v>
      </c>
      <c r="C49" s="47" t="s">
        <v>77</v>
      </c>
      <c r="D49" s="25"/>
      <c r="F49" s="47"/>
    </row>
    <row r="50" spans="1:12" x14ac:dyDescent="0.25">
      <c r="A50" s="25"/>
      <c r="B50" s="1" t="s">
        <v>78</v>
      </c>
      <c r="C50" s="47" t="s">
        <v>79</v>
      </c>
      <c r="D50" s="25"/>
      <c r="F50" s="47"/>
    </row>
    <row r="51" spans="1:12" x14ac:dyDescent="0.25">
      <c r="A51" s="25"/>
      <c r="B51" s="1" t="s">
        <v>80</v>
      </c>
      <c r="C51" s="47" t="s">
        <v>81</v>
      </c>
      <c r="D51" s="25"/>
      <c r="F51" s="47"/>
    </row>
    <row r="52" spans="1:12" x14ac:dyDescent="0.25">
      <c r="F52" s="52"/>
      <c r="G52" s="52"/>
      <c r="H52" s="52"/>
      <c r="I52" s="52"/>
      <c r="J52" s="52"/>
      <c r="K52" s="52"/>
      <c r="L52" s="52"/>
    </row>
    <row r="53" spans="1:12" x14ac:dyDescent="0.25">
      <c r="A53" s="1" t="s">
        <v>82</v>
      </c>
      <c r="C53" s="1" t="s">
        <v>83</v>
      </c>
      <c r="F53" s="99"/>
      <c r="G53" s="99"/>
      <c r="H53" s="99"/>
      <c r="I53" s="99"/>
      <c r="J53" s="99"/>
      <c r="K53" s="99"/>
      <c r="L53" s="99"/>
    </row>
    <row r="54" spans="1:12" x14ac:dyDescent="0.25">
      <c r="A54" s="99"/>
      <c r="F54" s="99"/>
      <c r="G54" s="99"/>
      <c r="H54" s="99"/>
      <c r="I54" s="99"/>
      <c r="J54" s="99"/>
      <c r="K54" s="99"/>
      <c r="L54" s="99"/>
    </row>
    <row r="55" spans="1:12" x14ac:dyDescent="0.25">
      <c r="A55" s="52" t="s">
        <v>84</v>
      </c>
      <c r="B55" s="52"/>
      <c r="C55" s="52"/>
      <c r="D55" s="52"/>
      <c r="E55" s="52"/>
      <c r="F55" s="99"/>
      <c r="G55" s="99"/>
      <c r="H55" s="99"/>
      <c r="I55" s="99"/>
      <c r="J55" s="99"/>
      <c r="K55" s="99"/>
      <c r="L55" s="99"/>
    </row>
  </sheetData>
  <mergeCells count="40">
    <mergeCell ref="C43:M44"/>
    <mergeCell ref="AQ36:AR36"/>
    <mergeCell ref="AT36:AU36"/>
    <mergeCell ref="AW36:AX36"/>
    <mergeCell ref="AZ36:BA36"/>
    <mergeCell ref="BC36:BD36"/>
    <mergeCell ref="A40:C40"/>
    <mergeCell ref="Y36:Z36"/>
    <mergeCell ref="AK36:AL36"/>
    <mergeCell ref="AN36:AO36"/>
    <mergeCell ref="M36:N36"/>
    <mergeCell ref="P36:Q36"/>
    <mergeCell ref="S36:T36"/>
    <mergeCell ref="V36:W36"/>
    <mergeCell ref="AB36:AC36"/>
    <mergeCell ref="AE36:AF36"/>
    <mergeCell ref="AH36:AI36"/>
    <mergeCell ref="B30:E30"/>
    <mergeCell ref="B31:F31"/>
    <mergeCell ref="D36:E36"/>
    <mergeCell ref="G36:H36"/>
    <mergeCell ref="J36:K36"/>
    <mergeCell ref="BC2:BD2"/>
    <mergeCell ref="V2:W2"/>
    <mergeCell ref="Y2:Z2"/>
    <mergeCell ref="AK2:AL2"/>
    <mergeCell ref="AN2:AO2"/>
    <mergeCell ref="AQ2:AR2"/>
    <mergeCell ref="AT2:AU2"/>
    <mergeCell ref="AW2:AX2"/>
    <mergeCell ref="AZ2:BA2"/>
    <mergeCell ref="AB2:AC2"/>
    <mergeCell ref="AE2:AF2"/>
    <mergeCell ref="AH2:AI2"/>
    <mergeCell ref="S2:T2"/>
    <mergeCell ref="D2:E2"/>
    <mergeCell ref="G2:H2"/>
    <mergeCell ref="J2:K2"/>
    <mergeCell ref="M2:N2"/>
    <mergeCell ref="P2:Q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3CF14-1E8E-41BD-8C49-D4C3BD493A7B}">
  <dimension ref="A1:E24"/>
  <sheetViews>
    <sheetView workbookViewId="0">
      <selection activeCell="B25" sqref="B25"/>
    </sheetView>
  </sheetViews>
  <sheetFormatPr defaultRowHeight="15" x14ac:dyDescent="0.25"/>
  <cols>
    <col min="1" max="1" width="10.7109375" customWidth="1"/>
    <col min="2" max="2" width="10.7109375" style="174" customWidth="1"/>
    <col min="3" max="5" width="10.7109375" customWidth="1"/>
  </cols>
  <sheetData>
    <row r="1" spans="1:5" x14ac:dyDescent="0.25">
      <c r="A1" s="173" t="s">
        <v>160</v>
      </c>
    </row>
    <row r="3" spans="1:5" x14ac:dyDescent="0.25">
      <c r="A3" s="175" t="s">
        <v>161</v>
      </c>
      <c r="B3" s="176"/>
      <c r="D3" s="175" t="s">
        <v>161</v>
      </c>
      <c r="E3" s="176"/>
    </row>
    <row r="4" spans="1:5" x14ac:dyDescent="0.25">
      <c r="A4" s="175" t="s">
        <v>162</v>
      </c>
      <c r="B4" s="176"/>
      <c r="D4" s="175" t="s">
        <v>163</v>
      </c>
      <c r="E4" s="176"/>
    </row>
    <row r="5" spans="1:5" x14ac:dyDescent="0.25">
      <c r="A5" s="175" t="s">
        <v>164</v>
      </c>
      <c r="B5" s="176" t="e">
        <f>'Single Trip Standard re Jan25'!#REF!</f>
        <v>#REF!</v>
      </c>
      <c r="D5" s="175" t="s">
        <v>164</v>
      </c>
      <c r="E5" s="176" t="e">
        <f>'Single Trip Standard re Jan25'!#REF!</f>
        <v>#REF!</v>
      </c>
    </row>
    <row r="6" spans="1:5" x14ac:dyDescent="0.25">
      <c r="A6" s="175" t="s">
        <v>165</v>
      </c>
      <c r="B6" s="176" t="e">
        <f>'Single Trip Standard re Jan25'!#REF!</f>
        <v>#REF!</v>
      </c>
      <c r="D6" s="175" t="s">
        <v>165</v>
      </c>
      <c r="E6" s="176" t="e">
        <f>'Single Trip Standard re Jan25'!#REF!</f>
        <v>#REF!</v>
      </c>
    </row>
    <row r="7" spans="1:5" x14ac:dyDescent="0.25">
      <c r="A7" s="175" t="s">
        <v>166</v>
      </c>
      <c r="B7" s="176" t="e">
        <f>'Single Trip Standard re Jan25'!#REF!</f>
        <v>#REF!</v>
      </c>
      <c r="D7" s="175" t="s">
        <v>166</v>
      </c>
      <c r="E7" s="176" t="e">
        <f>'Single Trip Standard re Jan25'!#REF!</f>
        <v>#REF!</v>
      </c>
    </row>
    <row r="9" spans="1:5" ht="35.1" customHeight="1" x14ac:dyDescent="0.25">
      <c r="A9" s="249" t="s">
        <v>167</v>
      </c>
      <c r="B9" s="249"/>
    </row>
    <row r="10" spans="1:5" x14ac:dyDescent="0.25">
      <c r="A10" s="175" t="s">
        <v>164</v>
      </c>
      <c r="B10" s="176">
        <f>'Single Trip Standard re Jan25'!C61</f>
        <v>16.45</v>
      </c>
    </row>
    <row r="11" spans="1:5" x14ac:dyDescent="0.25">
      <c r="A11" s="175" t="s">
        <v>165</v>
      </c>
      <c r="B11" s="176">
        <f>'Single Trip Standard re Jan25'!L61</f>
        <v>21.428000000000001</v>
      </c>
    </row>
    <row r="12" spans="1:5" x14ac:dyDescent="0.25">
      <c r="A12" s="175" t="s">
        <v>166</v>
      </c>
      <c r="B12" s="176">
        <f>'Single Trip Standard re Jan25'!X61</f>
        <v>39.479999999999997</v>
      </c>
    </row>
    <row r="15" spans="1:5" x14ac:dyDescent="0.25">
      <c r="A15" s="177" t="s">
        <v>168</v>
      </c>
      <c r="B15" s="178"/>
      <c r="D15" s="177" t="s">
        <v>168</v>
      </c>
      <c r="E15" s="178"/>
    </row>
    <row r="16" spans="1:5" x14ac:dyDescent="0.25">
      <c r="A16" s="177" t="s">
        <v>162</v>
      </c>
      <c r="B16" s="178"/>
      <c r="D16" s="177" t="s">
        <v>163</v>
      </c>
      <c r="E16" s="178"/>
    </row>
    <row r="17" spans="1:5" x14ac:dyDescent="0.25">
      <c r="A17" s="177" t="s">
        <v>164</v>
      </c>
      <c r="B17" s="178">
        <f>'AMT Standard'!D38</f>
        <v>2.04</v>
      </c>
      <c r="D17" s="177" t="s">
        <v>164</v>
      </c>
      <c r="E17" s="178">
        <f>'AMT Standard'!E38</f>
        <v>4.08</v>
      </c>
    </row>
    <row r="18" spans="1:5" x14ac:dyDescent="0.25">
      <c r="A18" s="177" t="s">
        <v>165</v>
      </c>
      <c r="B18" s="178">
        <f>'AMT Standard'!M38</f>
        <v>2.6619999999999999</v>
      </c>
      <c r="D18" s="177" t="s">
        <v>165</v>
      </c>
      <c r="E18" s="178">
        <f>'AMT Standard'!N38</f>
        <v>5.3130000000000006</v>
      </c>
    </row>
    <row r="19" spans="1:5" x14ac:dyDescent="0.25">
      <c r="A19" s="177" t="s">
        <v>166</v>
      </c>
      <c r="B19" s="178">
        <f>'AMT Standard'!Y38</f>
        <v>4.9000000000000004</v>
      </c>
      <c r="D19" s="177" t="s">
        <v>166</v>
      </c>
      <c r="E19" s="178">
        <f>'AMT Standard'!Z38</f>
        <v>9.7899999999999991</v>
      </c>
    </row>
    <row r="21" spans="1:5" ht="35.1" customHeight="1" x14ac:dyDescent="0.25">
      <c r="A21" s="250" t="s">
        <v>169</v>
      </c>
      <c r="B21" s="250"/>
    </row>
    <row r="22" spans="1:5" x14ac:dyDescent="0.25">
      <c r="A22" s="177" t="s">
        <v>164</v>
      </c>
      <c r="B22" s="178">
        <f>'AMT Standard'!D40</f>
        <v>16.97</v>
      </c>
    </row>
    <row r="23" spans="1:5" x14ac:dyDescent="0.25">
      <c r="A23" s="177" t="s">
        <v>165</v>
      </c>
      <c r="B23" s="178">
        <f>'AMT Standard'!M40</f>
        <v>22.099</v>
      </c>
    </row>
    <row r="24" spans="1:5" x14ac:dyDescent="0.25">
      <c r="A24" s="177" t="s">
        <v>166</v>
      </c>
      <c r="B24" s="178">
        <f>'AMT Standard'!Y40</f>
        <v>40.729999999999997</v>
      </c>
    </row>
  </sheetData>
  <mergeCells count="2">
    <mergeCell ref="A9:B9"/>
    <mergeCell ref="A21:B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0F65C-CB48-44CB-8A29-8B1A20EEF350}">
  <sheetPr>
    <tabColor rgb="FFFF0000"/>
  </sheetPr>
  <dimension ref="A1:BB52"/>
  <sheetViews>
    <sheetView showGridLines="0" zoomScale="85" zoomScaleNormal="85" workbookViewId="0">
      <pane xSplit="2" ySplit="6" topLeftCell="F18" activePane="bottomRight" state="frozen"/>
      <selection pane="topRight" activeCell="C1" sqref="C1"/>
      <selection pane="bottomLeft" activeCell="A8" sqref="A8"/>
      <selection pane="bottomRight" activeCell="AG15" sqref="AG15:AO52"/>
    </sheetView>
  </sheetViews>
  <sheetFormatPr defaultColWidth="8.85546875" defaultRowHeight="15" x14ac:dyDescent="0.25"/>
  <cols>
    <col min="1" max="1" width="10" style="1" customWidth="1"/>
    <col min="2" max="2" width="20" style="25" bestFit="1" customWidth="1"/>
    <col min="3" max="6" width="12.5703125" style="1" customWidth="1"/>
    <col min="7" max="7" width="1.5703125" style="1" customWidth="1"/>
    <col min="8" max="11" width="12.5703125" style="1" customWidth="1"/>
    <col min="12" max="12" width="2.5703125" style="1" customWidth="1"/>
    <col min="13" max="16" width="12.5703125" style="1" customWidth="1"/>
    <col min="17" max="17" width="1.5703125" style="1" customWidth="1"/>
    <col min="18" max="21" width="12.5703125" style="1" customWidth="1"/>
    <col min="22" max="22" width="1.5703125" style="1" hidden="1" customWidth="1"/>
    <col min="23" max="26" width="12.5703125" style="1" hidden="1" customWidth="1"/>
    <col min="27" max="27" width="1.5703125" style="1" hidden="1" customWidth="1"/>
    <col min="28" max="31" width="12.5703125" style="1" hidden="1" customWidth="1"/>
    <col min="32" max="32" width="5.28515625" customWidth="1"/>
    <col min="33" max="36" width="12.5703125" style="1" customWidth="1"/>
    <col min="37" max="37" width="1.5703125" style="1" customWidth="1"/>
    <col min="38" max="41" width="12.5703125" style="1" customWidth="1"/>
    <col min="42" max="42" width="5.42578125" customWidth="1"/>
    <col min="43" max="43" width="8.85546875" style="1" hidden="1" customWidth="1"/>
    <col min="44" max="44" width="6.42578125" style="1" hidden="1" customWidth="1"/>
    <col min="45" max="54" width="12.5703125" style="1" hidden="1" customWidth="1"/>
    <col min="55" max="16384" width="8.85546875" style="1"/>
  </cols>
  <sheetData>
    <row r="1" spans="1:54" ht="19.5" thickBot="1" x14ac:dyDescent="0.35">
      <c r="A1" s="32" t="s">
        <v>94</v>
      </c>
      <c r="B1" s="36">
        <v>46013</v>
      </c>
      <c r="C1" s="224" t="s">
        <v>210</v>
      </c>
      <c r="D1" s="225"/>
      <c r="E1" s="225"/>
      <c r="F1" s="225"/>
      <c r="G1" s="225"/>
      <c r="H1" s="225"/>
      <c r="I1" s="225"/>
      <c r="J1" s="225"/>
      <c r="K1" s="226"/>
      <c r="L1" s="3"/>
      <c r="M1" s="227" t="s">
        <v>211</v>
      </c>
      <c r="N1" s="228"/>
      <c r="O1" s="228"/>
      <c r="P1" s="228"/>
      <c r="Q1" s="228"/>
      <c r="R1" s="228"/>
      <c r="S1" s="228"/>
      <c r="T1" s="228"/>
      <c r="U1" s="229"/>
      <c r="W1" s="230" t="s">
        <v>95</v>
      </c>
      <c r="X1" s="231"/>
      <c r="Y1" s="231"/>
      <c r="Z1" s="231"/>
      <c r="AA1" s="231"/>
      <c r="AB1" s="231"/>
      <c r="AC1" s="231"/>
      <c r="AD1" s="231"/>
      <c r="AE1" s="232"/>
      <c r="AF1" s="84"/>
      <c r="AG1" s="230" t="s">
        <v>212</v>
      </c>
      <c r="AH1" s="231"/>
      <c r="AI1" s="231"/>
      <c r="AJ1" s="231"/>
      <c r="AK1" s="231"/>
      <c r="AL1" s="231"/>
      <c r="AM1" s="231"/>
      <c r="AN1" s="231"/>
      <c r="AO1" s="232"/>
      <c r="AP1" s="84"/>
    </row>
    <row r="2" spans="1:54" ht="15.75" thickBot="1" x14ac:dyDescent="0.3">
      <c r="A2" s="32" t="s">
        <v>96</v>
      </c>
      <c r="B2" s="36"/>
      <c r="AJ2" s="82">
        <v>0.5</v>
      </c>
      <c r="AR2" s="239" t="s">
        <v>97</v>
      </c>
      <c r="AS2" s="239"/>
      <c r="AT2" s="239"/>
      <c r="AU2" s="239"/>
      <c r="AV2" s="239"/>
      <c r="AW2" s="239"/>
      <c r="AX2" s="239"/>
      <c r="AY2" s="239"/>
      <c r="AZ2" s="239"/>
      <c r="BA2" s="239"/>
      <c r="BB2" s="239"/>
    </row>
    <row r="3" spans="1:54" s="4" customFormat="1" ht="15.75" thickBot="1" x14ac:dyDescent="0.3">
      <c r="A3" s="32" t="s">
        <v>98</v>
      </c>
      <c r="B3" s="34">
        <f>B2-B1+1</f>
        <v>-46012</v>
      </c>
      <c r="C3" s="236" t="s">
        <v>20</v>
      </c>
      <c r="D3" s="237"/>
      <c r="E3" s="237"/>
      <c r="F3" s="238"/>
      <c r="H3" s="233" t="s">
        <v>21</v>
      </c>
      <c r="I3" s="234"/>
      <c r="J3" s="234"/>
      <c r="K3" s="235"/>
      <c r="M3" s="236" t="s">
        <v>20</v>
      </c>
      <c r="N3" s="237"/>
      <c r="O3" s="237"/>
      <c r="P3" s="238"/>
      <c r="R3" s="233" t="s">
        <v>21</v>
      </c>
      <c r="S3" s="234"/>
      <c r="T3" s="234"/>
      <c r="U3" s="235"/>
      <c r="V3" s="1"/>
      <c r="W3" s="236" t="s">
        <v>20</v>
      </c>
      <c r="X3" s="237"/>
      <c r="Y3" s="237"/>
      <c r="Z3" s="238"/>
      <c r="AB3" s="233" t="s">
        <v>21</v>
      </c>
      <c r="AC3" s="234"/>
      <c r="AD3" s="234"/>
      <c r="AE3" s="235"/>
      <c r="AF3" s="85"/>
      <c r="AG3" s="236" t="s">
        <v>20</v>
      </c>
      <c r="AH3" s="237"/>
      <c r="AI3" s="237"/>
      <c r="AJ3" s="238"/>
      <c r="AL3" s="233" t="s">
        <v>21</v>
      </c>
      <c r="AM3" s="234"/>
      <c r="AN3" s="234"/>
      <c r="AO3" s="235"/>
      <c r="AP3" s="85"/>
      <c r="AS3" s="240" t="s">
        <v>99</v>
      </c>
      <c r="AT3" s="241"/>
      <c r="AU3" s="241"/>
      <c r="AV3" s="242"/>
      <c r="AW3" s="240" t="s">
        <v>100</v>
      </c>
      <c r="AX3" s="241"/>
      <c r="AY3" s="241"/>
      <c r="AZ3" s="242"/>
    </row>
    <row r="4" spans="1:54" ht="1.5" customHeight="1" thickBot="1" x14ac:dyDescent="0.3">
      <c r="B4" s="32">
        <v>102</v>
      </c>
      <c r="C4" s="2"/>
      <c r="D4" s="2"/>
      <c r="E4" s="2"/>
      <c r="F4" s="2"/>
      <c r="H4" s="2"/>
      <c r="I4" s="2"/>
      <c r="J4" s="2"/>
      <c r="K4" s="2"/>
      <c r="M4" s="2"/>
      <c r="N4" s="2"/>
      <c r="O4" s="2"/>
      <c r="P4" s="2"/>
      <c r="R4" s="2"/>
      <c r="S4" s="2"/>
      <c r="T4" s="2"/>
      <c r="U4" s="2"/>
      <c r="W4" s="2"/>
      <c r="X4" s="2"/>
      <c r="Y4" s="2"/>
      <c r="Z4" s="2"/>
      <c r="AB4" s="2"/>
      <c r="AC4" s="2"/>
      <c r="AD4" s="2"/>
      <c r="AE4" s="2"/>
      <c r="AF4" s="86"/>
      <c r="AG4" s="2"/>
      <c r="AH4" s="2"/>
      <c r="AI4" s="2"/>
      <c r="AJ4" s="2"/>
      <c r="AL4" s="2"/>
      <c r="AM4" s="2"/>
      <c r="AN4" s="2"/>
      <c r="AO4" s="2"/>
      <c r="AP4" s="86"/>
      <c r="AS4" s="63"/>
      <c r="AV4" s="57"/>
      <c r="AW4" s="63"/>
      <c r="AZ4" s="57"/>
    </row>
    <row r="5" spans="1:54" s="18" customFormat="1" ht="68.25" customHeight="1" thickBot="1" x14ac:dyDescent="0.3">
      <c r="A5" s="33" t="s">
        <v>101</v>
      </c>
      <c r="B5" s="35">
        <f>IF((B3-31)/7&gt;0,ROUNDUP((B3-31)/7,0),0)</f>
        <v>0</v>
      </c>
      <c r="C5" s="19" t="s">
        <v>22</v>
      </c>
      <c r="D5" s="20" t="s">
        <v>28</v>
      </c>
      <c r="E5" s="20" t="s">
        <v>102</v>
      </c>
      <c r="F5" s="21" t="s">
        <v>103</v>
      </c>
      <c r="G5" s="4"/>
      <c r="H5" s="22" t="s">
        <v>22</v>
      </c>
      <c r="I5" s="23" t="s">
        <v>28</v>
      </c>
      <c r="J5" s="23" t="s">
        <v>102</v>
      </c>
      <c r="K5" s="24" t="s">
        <v>103</v>
      </c>
      <c r="M5" s="19" t="s">
        <v>22</v>
      </c>
      <c r="N5" s="20" t="s">
        <v>28</v>
      </c>
      <c r="O5" s="20" t="s">
        <v>102</v>
      </c>
      <c r="P5" s="21" t="s">
        <v>103</v>
      </c>
      <c r="Q5" s="4"/>
      <c r="R5" s="22" t="s">
        <v>22</v>
      </c>
      <c r="S5" s="23" t="s">
        <v>28</v>
      </c>
      <c r="T5" s="23" t="s">
        <v>102</v>
      </c>
      <c r="U5" s="24" t="s">
        <v>103</v>
      </c>
      <c r="V5" s="1"/>
      <c r="W5" s="19" t="s">
        <v>22</v>
      </c>
      <c r="X5" s="20" t="s">
        <v>28</v>
      </c>
      <c r="Y5" s="20" t="s">
        <v>102</v>
      </c>
      <c r="Z5" s="21" t="s">
        <v>103</v>
      </c>
      <c r="AA5" s="4"/>
      <c r="AB5" s="22" t="s">
        <v>22</v>
      </c>
      <c r="AC5" s="23" t="s">
        <v>28</v>
      </c>
      <c r="AD5" s="23" t="s">
        <v>102</v>
      </c>
      <c r="AE5" s="24" t="s">
        <v>103</v>
      </c>
      <c r="AF5" s="87"/>
      <c r="AG5" s="19" t="s">
        <v>22</v>
      </c>
      <c r="AH5" s="20" t="s">
        <v>28</v>
      </c>
      <c r="AI5" s="20" t="s">
        <v>102</v>
      </c>
      <c r="AJ5" s="21" t="s">
        <v>103</v>
      </c>
      <c r="AK5" s="4"/>
      <c r="AL5" s="22" t="s">
        <v>22</v>
      </c>
      <c r="AM5" s="23" t="s">
        <v>28</v>
      </c>
      <c r="AN5" s="23" t="s">
        <v>102</v>
      </c>
      <c r="AO5" s="24" t="s">
        <v>103</v>
      </c>
      <c r="AP5" s="87"/>
      <c r="AR5" s="66" t="s">
        <v>104</v>
      </c>
      <c r="AS5" s="61" t="s">
        <v>105</v>
      </c>
      <c r="AT5" s="62" t="s">
        <v>106</v>
      </c>
      <c r="AU5" s="62" t="s">
        <v>107</v>
      </c>
      <c r="AV5" s="60" t="s">
        <v>108</v>
      </c>
      <c r="AW5" s="61" t="s">
        <v>109</v>
      </c>
      <c r="AX5" s="62" t="s">
        <v>110</v>
      </c>
      <c r="AY5" s="62" t="s">
        <v>111</v>
      </c>
      <c r="AZ5" s="60" t="s">
        <v>112</v>
      </c>
      <c r="BA5" s="66" t="s">
        <v>113</v>
      </c>
      <c r="BB5" s="62" t="s">
        <v>114</v>
      </c>
    </row>
    <row r="6" spans="1:54" ht="12.75" customHeight="1" thickBot="1" x14ac:dyDescent="0.3">
      <c r="AR6" s="55"/>
      <c r="AS6" s="63"/>
      <c r="AV6" s="57"/>
      <c r="AW6" s="63"/>
      <c r="AZ6" s="57"/>
      <c r="BA6" s="55"/>
    </row>
    <row r="7" spans="1:54" ht="12.75" customHeight="1" x14ac:dyDescent="0.25">
      <c r="A7" s="221" t="s">
        <v>115</v>
      </c>
      <c r="B7" s="26" t="s">
        <v>23</v>
      </c>
      <c r="C7" s="105">
        <f>'ST Standard from 4 Jun26'!C5</f>
        <v>9.66</v>
      </c>
      <c r="D7" s="106">
        <f>'ST Standard from 4 Jun26'!C12</f>
        <v>12.2</v>
      </c>
      <c r="E7" s="106">
        <f>'ST Standard from 4 Jun26'!C20</f>
        <v>25.68</v>
      </c>
      <c r="F7" s="107">
        <f>'ST Standard from 4 Jun26'!C28</f>
        <v>29.56</v>
      </c>
      <c r="G7" s="108"/>
      <c r="H7" s="109">
        <f>'ST Standard from 4 Jun26'!D5</f>
        <v>14.76</v>
      </c>
      <c r="I7" s="110">
        <f>'ST Standard from 4 Jun26'!D12</f>
        <v>20.09</v>
      </c>
      <c r="J7" s="110">
        <f>'ST Standard from 4 Jun26'!D20</f>
        <v>31.85</v>
      </c>
      <c r="K7" s="111">
        <f>'ST Standard from 4 Jun26'!D28</f>
        <v>35.22</v>
      </c>
      <c r="L7" s="8"/>
      <c r="M7" s="5">
        <f>'ST Standard from 4 Jun26'!L5</f>
        <v>12.749000000000001</v>
      </c>
      <c r="N7" s="6">
        <f>'ST Standard from 4 Jun26'!L12</f>
        <v>16.104000000000003</v>
      </c>
      <c r="O7" s="6">
        <f>'ST Standard from 4 Jun26'!L20</f>
        <v>33.902000000000001</v>
      </c>
      <c r="P7" s="107">
        <f>'ST Standard from 4 Jun26'!L28</f>
        <v>39.017000000000003</v>
      </c>
      <c r="Q7" s="8"/>
      <c r="R7" s="9">
        <f>'ST Standard from 4 Jun26'!M5</f>
        <v>19.481000000000002</v>
      </c>
      <c r="S7" s="10">
        <f>'ST Standard from 4 Jun26'!M12</f>
        <v>26.521000000000001</v>
      </c>
      <c r="T7" s="10">
        <f>'ST Standard from 4 Jun26'!M20</f>
        <v>42.042000000000002</v>
      </c>
      <c r="U7" s="11">
        <f>'ST Standard from 4 Jun26'!M28</f>
        <v>46.486000000000004</v>
      </c>
      <c r="W7" s="5" t="e">
        <f>SUM(C7/(1-#REF!)*1.2,1)</f>
        <v>#REF!</v>
      </c>
      <c r="X7" s="6" t="e">
        <f>SUM(D7/(1-#REF!)*1.2,1)</f>
        <v>#REF!</v>
      </c>
      <c r="Y7" s="6" t="e">
        <f>SUM(E7/(1-#REF!)*1.2,1)</f>
        <v>#REF!</v>
      </c>
      <c r="Z7" s="7" t="e">
        <f>SUM(F7/(1-#REF!)*1.2,1)</f>
        <v>#REF!</v>
      </c>
      <c r="AA7" s="8"/>
      <c r="AB7" s="9" t="e">
        <f>SUM(H7/(1-#REF!)*1.2,1)</f>
        <v>#REF!</v>
      </c>
      <c r="AC7" s="10" t="e">
        <f>SUM(I7/(1-#REF!)*1.2,1)</f>
        <v>#REF!</v>
      </c>
      <c r="AD7" s="10" t="e">
        <f>SUM(J7/(1-#REF!)*1.2,1)</f>
        <v>#REF!</v>
      </c>
      <c r="AE7" s="11" t="e">
        <f>SUM(K7/(1-#REF!)*1.2,1)</f>
        <v>#REF!</v>
      </c>
      <c r="AF7" s="88"/>
      <c r="AG7" s="5">
        <f>ROUNDDOWN(C7/(1-$AJ$2)*1.2,1)</f>
        <v>23.1</v>
      </c>
      <c r="AH7" s="6">
        <f>ROUNDDOWN(D7/(1-$AJ$2)*1.2,1)</f>
        <v>29.2</v>
      </c>
      <c r="AI7" s="6">
        <f>ROUNDDOWN(E7/(1-$AJ$2)*1.2,1)</f>
        <v>61.6</v>
      </c>
      <c r="AJ7" s="107">
        <f>ROUNDDOWN(F7/(1-$AJ$2)*1.2,1)</f>
        <v>70.900000000000006</v>
      </c>
      <c r="AK7" s="108"/>
      <c r="AL7" s="109">
        <f>ROUNDDOWN(H7/(1-$AJ$2)*1.2,1)</f>
        <v>35.4</v>
      </c>
      <c r="AM7" s="10">
        <f t="shared" ref="AM7:AO12" si="0">ROUNDDOWN(I7/(1-$AJ$2)*1.2,1)</f>
        <v>48.2</v>
      </c>
      <c r="AN7" s="10">
        <f t="shared" si="0"/>
        <v>76.400000000000006</v>
      </c>
      <c r="AO7" s="11">
        <f t="shared" si="0"/>
        <v>84.5</v>
      </c>
      <c r="AP7" s="88"/>
      <c r="AQ7" s="32" t="s">
        <v>116</v>
      </c>
      <c r="AR7" s="67">
        <f>N7</f>
        <v>16.104000000000003</v>
      </c>
      <c r="AS7" s="64">
        <f>AT7-AR7</f>
        <v>16.104000000000003</v>
      </c>
      <c r="AT7" s="56">
        <f>AR7*2</f>
        <v>32.208000000000006</v>
      </c>
      <c r="AU7" s="65">
        <f>AV7-AT7</f>
        <v>32.208000000000006</v>
      </c>
      <c r="AV7" s="58">
        <f>AT7*2</f>
        <v>64.416000000000011</v>
      </c>
      <c r="AW7" s="64" t="e">
        <f>#REF!</f>
        <v>#REF!</v>
      </c>
      <c r="AX7" s="56" t="e">
        <f>AV7+AW7</f>
        <v>#REF!</v>
      </c>
      <c r="AY7" s="65" t="e">
        <f>#REF!</f>
        <v>#REF!</v>
      </c>
      <c r="AZ7" s="58" t="e">
        <f>AX7+AY7</f>
        <v>#REF!</v>
      </c>
      <c r="BA7" s="67">
        <f>AR7*0.15</f>
        <v>2.4156000000000004</v>
      </c>
      <c r="BB7" s="56" t="e">
        <f>AZ7-BA7</f>
        <v>#REF!</v>
      </c>
    </row>
    <row r="8" spans="1:54" ht="14.45" customHeight="1" x14ac:dyDescent="0.25">
      <c r="A8" s="222"/>
      <c r="B8" s="27" t="s">
        <v>24</v>
      </c>
      <c r="C8" s="112">
        <f>'ST Standard from 4 Jun26'!C6</f>
        <v>10.14</v>
      </c>
      <c r="D8" s="113">
        <f>'ST Standard from 4 Jun26'!C13</f>
        <v>15.7</v>
      </c>
      <c r="E8" s="113">
        <f>'ST Standard from 4 Jun26'!C21</f>
        <v>30.93</v>
      </c>
      <c r="F8" s="114">
        <f>'ST Standard from 4 Jun26'!C29</f>
        <v>35.770000000000003</v>
      </c>
      <c r="G8" s="108"/>
      <c r="H8" s="115">
        <f>'ST Standard from 4 Jun26'!D6</f>
        <v>15.5</v>
      </c>
      <c r="I8" s="116">
        <f>'ST Standard from 4 Jun26'!D13</f>
        <v>24.05</v>
      </c>
      <c r="J8" s="116">
        <f>'ST Standard from 4 Jun26'!D21</f>
        <v>35.49</v>
      </c>
      <c r="K8" s="117">
        <f>'ST Standard from 4 Jun26'!D29</f>
        <v>42.36</v>
      </c>
      <c r="L8" s="8"/>
      <c r="M8" s="12">
        <f>'ST Standard from 4 Jun26'!L6</f>
        <v>13.387</v>
      </c>
      <c r="N8" s="13">
        <f>'ST Standard from 4 Jun26'!L13</f>
        <v>20.724</v>
      </c>
      <c r="O8" s="13">
        <f>'ST Standard from 4 Jun26'!L21</f>
        <v>40.832000000000001</v>
      </c>
      <c r="P8" s="114">
        <f>'ST Standard from 4 Jun26'!L29</f>
        <v>47.212000000000003</v>
      </c>
      <c r="Q8" s="8"/>
      <c r="R8" s="15">
        <f>'ST Standard from 4 Jun26'!M6</f>
        <v>20.460000000000004</v>
      </c>
      <c r="S8" s="16">
        <f>'ST Standard from 4 Jun26'!M13</f>
        <v>31.746000000000002</v>
      </c>
      <c r="T8" s="16">
        <f>'ST Standard from 4 Jun26'!M21</f>
        <v>46.849000000000011</v>
      </c>
      <c r="U8" s="17">
        <f>'ST Standard from 4 Jun26'!M29</f>
        <v>55.913000000000004</v>
      </c>
      <c r="W8" s="12" t="e">
        <f>SUM(C8/(1-#REF!)*1.2,1)</f>
        <v>#REF!</v>
      </c>
      <c r="X8" s="13" t="e">
        <f>SUM(D8/(1-#REF!)*1.2,1)</f>
        <v>#REF!</v>
      </c>
      <c r="Y8" s="13" t="e">
        <f>SUM(E8/(1-#REF!)*1.2,1)</f>
        <v>#REF!</v>
      </c>
      <c r="Z8" s="14" t="e">
        <f>SUM(F8/(1-#REF!)*1.2,1)</f>
        <v>#REF!</v>
      </c>
      <c r="AA8" s="8"/>
      <c r="AB8" s="15" t="e">
        <f>SUM(H8/(1-#REF!)*1.2,1)</f>
        <v>#REF!</v>
      </c>
      <c r="AC8" s="16" t="e">
        <f>SUM(I8/(1-#REF!)*1.2,1)</f>
        <v>#REF!</v>
      </c>
      <c r="AD8" s="16" t="e">
        <f>SUM(J8/(1-#REF!)*1.2,1)</f>
        <v>#REF!</v>
      </c>
      <c r="AE8" s="17" t="e">
        <f>SUM(K8/(1-#REF!)*1.2,1)</f>
        <v>#REF!</v>
      </c>
      <c r="AF8" s="88"/>
      <c r="AG8" s="12">
        <f t="shared" ref="AG8:AJ12" si="1">ROUNDDOWN(C8/(1-$AJ$2)*1.2,1)</f>
        <v>24.3</v>
      </c>
      <c r="AH8" s="13">
        <f t="shared" si="1"/>
        <v>37.6</v>
      </c>
      <c r="AI8" s="13">
        <f t="shared" si="1"/>
        <v>74.2</v>
      </c>
      <c r="AJ8" s="114">
        <f t="shared" si="1"/>
        <v>85.8</v>
      </c>
      <c r="AK8" s="108"/>
      <c r="AL8" s="115">
        <f t="shared" ref="AL8:AL11" si="2">ROUNDDOWN(H8/(1-$AJ$2)*1.2,1)</f>
        <v>37.200000000000003</v>
      </c>
      <c r="AM8" s="16">
        <f t="shared" si="0"/>
        <v>57.7</v>
      </c>
      <c r="AN8" s="16">
        <f t="shared" si="0"/>
        <v>85.1</v>
      </c>
      <c r="AO8" s="17">
        <f t="shared" si="0"/>
        <v>101.6</v>
      </c>
      <c r="AP8" s="88"/>
      <c r="AQ8" s="73" t="s">
        <v>117</v>
      </c>
      <c r="AR8" s="68">
        <f>D7</f>
        <v>12.2</v>
      </c>
      <c r="AS8" s="69">
        <f>AT8-AR8</f>
        <v>12.2</v>
      </c>
      <c r="AT8" s="70">
        <f>AR8*2</f>
        <v>24.4</v>
      </c>
      <c r="AU8" s="71">
        <f>AV8-AT8</f>
        <v>24.4</v>
      </c>
      <c r="AV8" s="72">
        <f>AT8*2</f>
        <v>48.8</v>
      </c>
      <c r="AW8" s="69" t="e">
        <f>#REF!</f>
        <v>#REF!</v>
      </c>
      <c r="AX8" s="70" t="e">
        <f>AV8+AW8</f>
        <v>#REF!</v>
      </c>
      <c r="AY8" s="71" t="e">
        <f>#REF!</f>
        <v>#REF!</v>
      </c>
      <c r="AZ8" s="72" t="e">
        <f>AX8+AY8</f>
        <v>#REF!</v>
      </c>
      <c r="BA8" s="68">
        <f>AR8*0.15</f>
        <v>1.8299999999999998</v>
      </c>
      <c r="BB8" s="70" t="e">
        <f>AZ8-BA8</f>
        <v>#REF!</v>
      </c>
    </row>
    <row r="9" spans="1:54" ht="14.45" customHeight="1" x14ac:dyDescent="0.25">
      <c r="A9" s="222"/>
      <c r="B9" s="27" t="s">
        <v>25</v>
      </c>
      <c r="C9" s="112">
        <f>'ST Standard from 4 Jun26'!C7</f>
        <v>11.19</v>
      </c>
      <c r="D9" s="113">
        <f>'ST Standard from 4 Jun26'!C14</f>
        <v>18.48</v>
      </c>
      <c r="E9" s="113">
        <f>'ST Standard from 4 Jun26'!C22</f>
        <v>37.75</v>
      </c>
      <c r="F9" s="114">
        <f>'ST Standard from 4 Jun26'!C30</f>
        <v>44.15</v>
      </c>
      <c r="G9" s="108"/>
      <c r="H9" s="115">
        <f>'ST Standard from 4 Jun26'!D7</f>
        <v>17.13</v>
      </c>
      <c r="I9" s="116">
        <f>'ST Standard from 4 Jun26'!D14</f>
        <v>26.97</v>
      </c>
      <c r="J9" s="116">
        <f>'ST Standard from 4 Jun26'!D22</f>
        <v>43.64</v>
      </c>
      <c r="K9" s="117">
        <f>'ST Standard from 4 Jun26'!D30</f>
        <v>49.06</v>
      </c>
      <c r="L9" s="8"/>
      <c r="M9" s="12">
        <f>'ST Standard from 4 Jun26'!L7</f>
        <v>14.773000000000001</v>
      </c>
      <c r="N9" s="13">
        <f>'ST Standard from 4 Jun26'!L14</f>
        <v>24.398000000000003</v>
      </c>
      <c r="O9" s="13">
        <f>'ST Standard from 4 Jun26'!L22</f>
        <v>49.83</v>
      </c>
      <c r="P9" s="114">
        <f>'ST Standard from 4 Jun26'!L30</f>
        <v>58.277999999999999</v>
      </c>
      <c r="Q9" s="8"/>
      <c r="R9" s="15">
        <f>'ST Standard from 4 Jun26'!M7</f>
        <v>22.616</v>
      </c>
      <c r="S9" s="16">
        <f>'ST Standard from 4 Jun26'!M14</f>
        <v>35.596000000000004</v>
      </c>
      <c r="T9" s="16">
        <f>'ST Standard from 4 Jun26'!M22</f>
        <v>57.606999999999999</v>
      </c>
      <c r="U9" s="17">
        <f>'ST Standard from 4 Jun26'!M30</f>
        <v>64.757000000000005</v>
      </c>
      <c r="W9" s="12" t="e">
        <f>SUM(C9/(1-#REF!)*1.2,1)</f>
        <v>#REF!</v>
      </c>
      <c r="X9" s="13" t="e">
        <f>SUM(D9/(1-#REF!)*1.2,1)</f>
        <v>#REF!</v>
      </c>
      <c r="Y9" s="13" t="e">
        <f>SUM(E9/(1-#REF!)*1.2,1)</f>
        <v>#REF!</v>
      </c>
      <c r="Z9" s="14" t="e">
        <f>SUM(F9/(1-#REF!)*1.2,1)</f>
        <v>#REF!</v>
      </c>
      <c r="AA9" s="8"/>
      <c r="AB9" s="15" t="e">
        <f>SUM(H9/(1-#REF!)*1.2,1)</f>
        <v>#REF!</v>
      </c>
      <c r="AC9" s="16" t="e">
        <f>SUM(I9/(1-#REF!)*1.2,1)</f>
        <v>#REF!</v>
      </c>
      <c r="AD9" s="16" t="e">
        <f>SUM(J9/(1-#REF!)*1.2,1)</f>
        <v>#REF!</v>
      </c>
      <c r="AE9" s="17" t="e">
        <f>SUM(K9/(1-#REF!)*1.2,1)</f>
        <v>#REF!</v>
      </c>
      <c r="AF9" s="88"/>
      <c r="AG9" s="12">
        <f t="shared" si="1"/>
        <v>26.8</v>
      </c>
      <c r="AH9" s="13">
        <f t="shared" si="1"/>
        <v>44.3</v>
      </c>
      <c r="AI9" s="13">
        <f t="shared" si="1"/>
        <v>90.6</v>
      </c>
      <c r="AJ9" s="114">
        <f t="shared" si="1"/>
        <v>105.9</v>
      </c>
      <c r="AK9" s="108"/>
      <c r="AL9" s="115">
        <f t="shared" si="2"/>
        <v>41.1</v>
      </c>
      <c r="AM9" s="16">
        <f t="shared" si="0"/>
        <v>64.7</v>
      </c>
      <c r="AN9" s="16">
        <f t="shared" si="0"/>
        <v>104.7</v>
      </c>
      <c r="AO9" s="17">
        <f t="shared" si="0"/>
        <v>117.7</v>
      </c>
      <c r="AP9" s="88"/>
      <c r="AR9" s="37"/>
    </row>
    <row r="10" spans="1:54" ht="14.45" customHeight="1" x14ac:dyDescent="0.25">
      <c r="A10" s="222"/>
      <c r="B10" s="27" t="s">
        <v>26</v>
      </c>
      <c r="C10" s="112">
        <f>'ST Standard from 4 Jun26'!C8</f>
        <v>12.34</v>
      </c>
      <c r="D10" s="113">
        <f>'ST Standard from 4 Jun26'!C15</f>
        <v>24.41</v>
      </c>
      <c r="E10" s="113">
        <f>'ST Standard from 4 Jun26'!C23</f>
        <v>46.62</v>
      </c>
      <c r="F10" s="114">
        <f>'ST Standard from 4 Jun26'!C31</f>
        <v>55.32</v>
      </c>
      <c r="G10" s="108"/>
      <c r="H10" s="115">
        <f>'ST Standard from 4 Jun26'!D8</f>
        <v>18.86</v>
      </c>
      <c r="I10" s="116">
        <f>'ST Standard from 4 Jun26'!D15</f>
        <v>34.409999999999997</v>
      </c>
      <c r="J10" s="116">
        <f>'ST Standard from 4 Jun26'!D23</f>
        <v>53.83</v>
      </c>
      <c r="K10" s="117">
        <f>'ST Standard from 4 Jun26'!D31</f>
        <v>63.61</v>
      </c>
      <c r="L10" s="8"/>
      <c r="M10" s="12">
        <f>'ST Standard from 4 Jun26'!L8</f>
        <v>16.291</v>
      </c>
      <c r="N10" s="13">
        <f>'ST Standard from 4 Jun26'!L15</f>
        <v>32.219000000000001</v>
      </c>
      <c r="O10" s="13">
        <f>'ST Standard from 4 Jun26'!L23</f>
        <v>61.533999999999999</v>
      </c>
      <c r="P10" s="114">
        <f>'ST Standard from 4 Jun26'!L31</f>
        <v>73.018000000000001</v>
      </c>
      <c r="Q10" s="8"/>
      <c r="R10" s="15">
        <f>'ST Standard from 4 Jun26'!M8</f>
        <v>24.893000000000001</v>
      </c>
      <c r="S10" s="16">
        <f>'ST Standard from 4 Jun26'!M15</f>
        <v>45.419000000000004</v>
      </c>
      <c r="T10" s="16">
        <f>'ST Standard from 4 Jun26'!M23</f>
        <v>71.06</v>
      </c>
      <c r="U10" s="17">
        <f>'ST Standard from 4 Jun26'!M31</f>
        <v>83.963000000000008</v>
      </c>
      <c r="W10" s="12" t="e">
        <f>SUM(C10/(1-#REF!)*1.2,1)</f>
        <v>#REF!</v>
      </c>
      <c r="X10" s="13" t="e">
        <f>SUM(D10/(1-#REF!)*1.2,1)</f>
        <v>#REF!</v>
      </c>
      <c r="Y10" s="13" t="e">
        <f>SUM(E10/(1-#REF!)*1.2,1)</f>
        <v>#REF!</v>
      </c>
      <c r="Z10" s="14" t="e">
        <f>SUM(F10/(1-#REF!)*1.2,1)</f>
        <v>#REF!</v>
      </c>
      <c r="AA10" s="8"/>
      <c r="AB10" s="15" t="e">
        <f>SUM(H10/(1-#REF!)*1.2,1)</f>
        <v>#REF!</v>
      </c>
      <c r="AC10" s="16" t="e">
        <f>SUM(I10/(1-#REF!)*1.2,1)</f>
        <v>#REF!</v>
      </c>
      <c r="AD10" s="16" t="e">
        <f>SUM(J10/(1-#REF!)*1.2,1)</f>
        <v>#REF!</v>
      </c>
      <c r="AE10" s="17" t="e">
        <f>SUM(K10/(1-#REF!)*1.2,1)</f>
        <v>#REF!</v>
      </c>
      <c r="AF10" s="88"/>
      <c r="AG10" s="12">
        <f t="shared" si="1"/>
        <v>29.6</v>
      </c>
      <c r="AH10" s="13">
        <f t="shared" si="1"/>
        <v>58.5</v>
      </c>
      <c r="AI10" s="13">
        <f t="shared" si="1"/>
        <v>111.8</v>
      </c>
      <c r="AJ10" s="114">
        <f t="shared" si="1"/>
        <v>132.69999999999999</v>
      </c>
      <c r="AK10" s="108"/>
      <c r="AL10" s="115">
        <f t="shared" si="2"/>
        <v>45.2</v>
      </c>
      <c r="AM10" s="16">
        <f t="shared" si="0"/>
        <v>82.5</v>
      </c>
      <c r="AN10" s="16">
        <f t="shared" si="0"/>
        <v>129.1</v>
      </c>
      <c r="AO10" s="17">
        <f t="shared" si="0"/>
        <v>152.6</v>
      </c>
      <c r="AP10" s="88"/>
      <c r="AR10" s="37"/>
      <c r="AS10" s="37"/>
      <c r="AT10" s="37"/>
      <c r="AU10" s="37"/>
      <c r="AV10" s="37"/>
      <c r="AW10" s="37"/>
      <c r="AX10" s="37"/>
      <c r="AY10" s="37"/>
      <c r="AZ10" s="37"/>
      <c r="BA10" s="56"/>
      <c r="BB10" s="56"/>
    </row>
    <row r="11" spans="1:54" ht="14.45" customHeight="1" x14ac:dyDescent="0.25">
      <c r="A11" s="222"/>
      <c r="B11" s="27" t="s">
        <v>27</v>
      </c>
      <c r="C11" s="112">
        <f>'ST Standard from 4 Jun26'!C9</f>
        <v>12.36</v>
      </c>
      <c r="D11" s="113">
        <f>'ST Standard from 4 Jun26'!C16</f>
        <v>28.79</v>
      </c>
      <c r="E11" s="113">
        <f>'ST Standard from 4 Jun26'!C24</f>
        <v>52.4</v>
      </c>
      <c r="F11" s="114">
        <f>'ST Standard from 4 Jun26'!C32</f>
        <v>61.02</v>
      </c>
      <c r="G11" s="108"/>
      <c r="H11" s="115">
        <f>'ST Standard from 4 Jun26'!D9</f>
        <v>18.87</v>
      </c>
      <c r="I11" s="116">
        <f>'ST Standard from 4 Jun26'!D16</f>
        <v>40.32</v>
      </c>
      <c r="J11" s="116">
        <f>'ST Standard from 4 Jun26'!D24</f>
        <v>59.42</v>
      </c>
      <c r="K11" s="117">
        <f>'ST Standard from 4 Jun26'!D32</f>
        <v>68.849999999999994</v>
      </c>
      <c r="L11" s="8"/>
      <c r="M11" s="12">
        <f>'ST Standard from 4 Jun26'!L9</f>
        <v>16.313000000000002</v>
      </c>
      <c r="N11" s="13">
        <f>'ST Standard from 4 Jun26'!L16</f>
        <v>38.005000000000003</v>
      </c>
      <c r="O11" s="13">
        <f>'ST Standard from 4 Jun26'!L24</f>
        <v>69.168000000000006</v>
      </c>
      <c r="P11" s="114">
        <f>'ST Standard from 4 Jun26'!L32</f>
        <v>80.542000000000002</v>
      </c>
      <c r="Q11" s="8"/>
      <c r="R11" s="15">
        <f>'ST Standard from 4 Jun26'!M9</f>
        <v>24.904000000000003</v>
      </c>
      <c r="S11" s="16">
        <f>'ST Standard from 4 Jun26'!M16</f>
        <v>53.218000000000011</v>
      </c>
      <c r="T11" s="16">
        <f>'ST Standard from 4 Jun26'!M24</f>
        <v>78.430000000000007</v>
      </c>
      <c r="U11" s="17">
        <f>'ST Standard from 4 Jun26'!M32</f>
        <v>90.882000000000019</v>
      </c>
      <c r="W11" s="12" t="e">
        <f>SUM(C11/(1-#REF!)*1.2,1)</f>
        <v>#REF!</v>
      </c>
      <c r="X11" s="13" t="e">
        <f>SUM(D11/(1-#REF!)*1.2,1)</f>
        <v>#REF!</v>
      </c>
      <c r="Y11" s="13" t="e">
        <f>SUM(E11/(1-#REF!)*1.2,1)</f>
        <v>#REF!</v>
      </c>
      <c r="Z11" s="14" t="e">
        <f>SUM(F11/(1-#REF!)*1.2,1)</f>
        <v>#REF!</v>
      </c>
      <c r="AA11" s="8"/>
      <c r="AB11" s="15" t="e">
        <f>SUM(H11/(1-#REF!)*1.2,1)</f>
        <v>#REF!</v>
      </c>
      <c r="AC11" s="16" t="e">
        <f>SUM(I11/(1-#REF!)*1.2,1)</f>
        <v>#REF!</v>
      </c>
      <c r="AD11" s="16" t="e">
        <f>SUM(J11/(1-#REF!)*1.2,1)</f>
        <v>#REF!</v>
      </c>
      <c r="AE11" s="17" t="e">
        <f>SUM(K11/(1-#REF!)*1.2,1)</f>
        <v>#REF!</v>
      </c>
      <c r="AF11" s="88"/>
      <c r="AG11" s="112">
        <f t="shared" si="1"/>
        <v>29.6</v>
      </c>
      <c r="AH11" s="13">
        <f t="shared" si="1"/>
        <v>69</v>
      </c>
      <c r="AI11" s="13">
        <f t="shared" si="1"/>
        <v>125.7</v>
      </c>
      <c r="AJ11" s="114">
        <f t="shared" si="1"/>
        <v>146.4</v>
      </c>
      <c r="AK11" s="108"/>
      <c r="AL11" s="115">
        <f t="shared" si="2"/>
        <v>45.2</v>
      </c>
      <c r="AM11" s="16">
        <f t="shared" si="0"/>
        <v>96.7</v>
      </c>
      <c r="AN11" s="16">
        <f t="shared" si="0"/>
        <v>142.6</v>
      </c>
      <c r="AO11" s="17">
        <f t="shared" si="0"/>
        <v>165.2</v>
      </c>
      <c r="AP11" s="88"/>
    </row>
    <row r="12" spans="1:54" ht="14.45" customHeight="1" thickBot="1" x14ac:dyDescent="0.3">
      <c r="A12" s="223"/>
      <c r="B12" s="27" t="s">
        <v>29</v>
      </c>
      <c r="C12" s="112" t="s">
        <v>118</v>
      </c>
      <c r="D12" s="113">
        <f>'ST Standard from 4 Jun26'!C17*1.16</f>
        <v>4.4543999999999997</v>
      </c>
      <c r="E12" s="113">
        <f>'ST Standard from 4 Jun26'!C25</f>
        <v>7.41</v>
      </c>
      <c r="F12" s="114">
        <f>'ST Standard from 4 Jun26'!C33</f>
        <v>10</v>
      </c>
      <c r="G12" s="108"/>
      <c r="H12" s="115" t="s">
        <v>118</v>
      </c>
      <c r="I12" s="116">
        <f>'ST Standard from 4 Jun26'!D17</f>
        <v>5.21</v>
      </c>
      <c r="J12" s="116">
        <f>'ST Standard from 4 Jun26'!D25</f>
        <v>8.1</v>
      </c>
      <c r="K12" s="117">
        <f>'ST Standard from 4 Jun26'!D33</f>
        <v>10.82</v>
      </c>
      <c r="L12" s="8"/>
      <c r="M12" s="12" t="s">
        <v>118</v>
      </c>
      <c r="N12" s="13">
        <f>'ST Standard from 4 Jun26'!L17</f>
        <v>5.0710000000000006</v>
      </c>
      <c r="O12" s="13">
        <f>'ST Standard from 4 Jun26'!L25</f>
        <v>9.7790000000000017</v>
      </c>
      <c r="P12" s="114">
        <f>'ST Standard from 4 Jun26'!L33</f>
        <v>13.200000000000001</v>
      </c>
      <c r="Q12" s="8"/>
      <c r="R12" s="15" t="s">
        <v>118</v>
      </c>
      <c r="S12" s="16">
        <f>'ST Standard from 4 Jun26'!M17</f>
        <v>6.8750000000000009</v>
      </c>
      <c r="T12" s="16">
        <f>'ST Standard from 4 Jun26'!M25</f>
        <v>10.692000000000002</v>
      </c>
      <c r="U12" s="17">
        <f>'ST Standard from 4 Jun26'!M33</f>
        <v>14.278000000000002</v>
      </c>
      <c r="W12" s="12" t="s">
        <v>118</v>
      </c>
      <c r="X12" s="13" t="e">
        <f>SUM(D12/(1-#REF!)*1.2,1)</f>
        <v>#REF!</v>
      </c>
      <c r="Y12" s="13" t="e">
        <f>SUM(E12/(1-#REF!)*1.2,1)</f>
        <v>#REF!</v>
      </c>
      <c r="Z12" s="14" t="e">
        <f>SUM(F12/(1-#REF!)*1.2,1)</f>
        <v>#REF!</v>
      </c>
      <c r="AA12" s="8"/>
      <c r="AB12" s="15" t="s">
        <v>118</v>
      </c>
      <c r="AC12" s="16" t="e">
        <f>SUM(I12/(1-#REF!)*1.2,1)</f>
        <v>#REF!</v>
      </c>
      <c r="AD12" s="16" t="e">
        <f>SUM(J12/(1-#REF!)*1.2,1)</f>
        <v>#REF!</v>
      </c>
      <c r="AE12" s="17" t="e">
        <f>SUM(K12/(1-#REF!)*1.2,1)</f>
        <v>#REF!</v>
      </c>
      <c r="AF12" s="88"/>
      <c r="AG12" s="112" t="s">
        <v>118</v>
      </c>
      <c r="AH12" s="13">
        <f t="shared" si="1"/>
        <v>10.6</v>
      </c>
      <c r="AI12" s="13">
        <f t="shared" si="1"/>
        <v>17.7</v>
      </c>
      <c r="AJ12" s="114">
        <f t="shared" si="1"/>
        <v>24</v>
      </c>
      <c r="AK12" s="108"/>
      <c r="AL12" s="115" t="s">
        <v>118</v>
      </c>
      <c r="AM12" s="16">
        <f t="shared" si="0"/>
        <v>12.5</v>
      </c>
      <c r="AN12" s="16">
        <f t="shared" si="0"/>
        <v>19.399999999999999</v>
      </c>
      <c r="AO12" s="17">
        <f t="shared" si="0"/>
        <v>25.9</v>
      </c>
      <c r="AP12" s="88"/>
    </row>
    <row r="13" spans="1:54" ht="5.0999999999999996" customHeight="1" thickBot="1" x14ac:dyDescent="0.3"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W13" s="8"/>
      <c r="X13" s="8"/>
      <c r="Y13" s="8"/>
      <c r="Z13" s="8"/>
      <c r="AA13" s="8"/>
      <c r="AB13" s="8"/>
      <c r="AC13" s="8"/>
      <c r="AD13" s="8"/>
      <c r="AE13" s="8"/>
      <c r="AF13" s="89"/>
      <c r="AG13" s="108"/>
      <c r="AH13" s="108"/>
      <c r="AI13" s="108"/>
      <c r="AJ13" s="108"/>
      <c r="AK13" s="108"/>
      <c r="AL13" s="108"/>
      <c r="AM13" s="108"/>
      <c r="AN13" s="108"/>
      <c r="AO13" s="108"/>
      <c r="AP13" s="89"/>
    </row>
    <row r="14" spans="1:54" ht="15.75" thickBot="1" x14ac:dyDescent="0.3">
      <c r="B14" s="28" t="s">
        <v>119</v>
      </c>
      <c r="C14" s="29">
        <v>1.0900000000000001</v>
      </c>
      <c r="D14" s="28"/>
      <c r="E14" s="28"/>
      <c r="F14" s="28"/>
      <c r="G14" s="28"/>
      <c r="H14" s="29">
        <v>1.0900000000000001</v>
      </c>
      <c r="I14" s="28"/>
      <c r="J14" s="28"/>
      <c r="K14" s="28"/>
      <c r="L14" s="28"/>
      <c r="M14" s="29">
        <v>1.0900000000000001</v>
      </c>
      <c r="N14" s="28"/>
      <c r="O14" s="28"/>
      <c r="P14" s="28"/>
      <c r="Q14" s="28"/>
      <c r="R14" s="29">
        <v>1.0900000000000001</v>
      </c>
      <c r="S14" s="8"/>
      <c r="T14" s="8"/>
      <c r="W14" s="31">
        <v>1.0798000000000001</v>
      </c>
      <c r="X14" s="28"/>
      <c r="Y14" s="28"/>
      <c r="Z14" s="28"/>
      <c r="AA14" s="28"/>
      <c r="AB14" s="31">
        <v>1.0798000000000001</v>
      </c>
      <c r="AC14" s="8"/>
      <c r="AD14" s="8"/>
      <c r="AG14" s="108"/>
      <c r="AH14" s="108"/>
      <c r="AI14" s="108"/>
      <c r="AJ14" s="108"/>
      <c r="AK14" s="108"/>
      <c r="AL14" s="108"/>
      <c r="AM14" s="108"/>
      <c r="AN14" s="108"/>
      <c r="AS14" s="32"/>
      <c r="AT14" s="56"/>
      <c r="AU14" s="56"/>
      <c r="AV14" s="56"/>
      <c r="AW14" s="56"/>
      <c r="AX14" s="56"/>
      <c r="AY14" s="56"/>
      <c r="AZ14" s="56"/>
    </row>
    <row r="15" spans="1:54" ht="14.45" customHeight="1" x14ac:dyDescent="0.25">
      <c r="A15" s="221" t="s">
        <v>120</v>
      </c>
      <c r="B15" s="26" t="s">
        <v>23</v>
      </c>
      <c r="C15" s="105">
        <f t="shared" ref="C15:C20" si="3">IFERROR(C7*C$14,"N/A")</f>
        <v>10.529400000000001</v>
      </c>
      <c r="D15" s="106">
        <f t="shared" ref="D15:D20" si="4">IFERROR(D7*C$14,"N/A")</f>
        <v>13.298</v>
      </c>
      <c r="E15" s="106">
        <f t="shared" ref="E15:E20" si="5">IFERROR(E7*C$14,"N/A")</f>
        <v>27.991200000000003</v>
      </c>
      <c r="F15" s="107">
        <f t="shared" ref="F15:F20" si="6">IFERROR(F7*C$14,"N/A")</f>
        <v>32.220399999999998</v>
      </c>
      <c r="G15" s="108"/>
      <c r="H15" s="109">
        <f t="shared" ref="H15:H20" si="7">IFERROR(H7*H$14,"N/A")</f>
        <v>16.0884</v>
      </c>
      <c r="I15" s="110">
        <f t="shared" ref="I15:I20" si="8">IFERROR(I7*H$14,"N/A")</f>
        <v>21.898100000000003</v>
      </c>
      <c r="J15" s="110">
        <f t="shared" ref="J15:J20" si="9">IFERROR(J7*H$14,"N/A")</f>
        <v>34.716500000000003</v>
      </c>
      <c r="K15" s="111">
        <f t="shared" ref="K15:K20" si="10">IFERROR(K7*H$14,"N/A")</f>
        <v>38.389800000000001</v>
      </c>
      <c r="L15" s="8"/>
      <c r="M15" s="5">
        <f t="shared" ref="M15:M20" si="11">IFERROR(M7*M$14,"N/A")</f>
        <v>13.896410000000001</v>
      </c>
      <c r="N15" s="6">
        <f t="shared" ref="N15:N20" si="12">IFERROR(N7*M$14,"N/A")</f>
        <v>17.553360000000005</v>
      </c>
      <c r="O15" s="6">
        <f t="shared" ref="O15:O20" si="13">IFERROR(O7*M$14,"N/A")</f>
        <v>36.953180000000003</v>
      </c>
      <c r="P15" s="7">
        <f t="shared" ref="P15:P20" si="14">IFERROR(P7*M$14,"N/A")</f>
        <v>42.528530000000003</v>
      </c>
      <c r="Q15" s="8"/>
      <c r="R15" s="9">
        <f t="shared" ref="R15:R20" si="15">IFERROR(R7*R$14,"N/A")</f>
        <v>21.234290000000005</v>
      </c>
      <c r="S15" s="10">
        <f t="shared" ref="S15:S20" si="16">IFERROR(S7*R$14,"N/A")</f>
        <v>28.907890000000002</v>
      </c>
      <c r="T15" s="10">
        <f t="shared" ref="T15:T20" si="17">IFERROR(T7*R$14,"N/A")</f>
        <v>45.825780000000002</v>
      </c>
      <c r="U15" s="11">
        <f t="shared" ref="U15:U20" si="18">IFERROR(U7*R$14,"N/A")</f>
        <v>50.669740000000012</v>
      </c>
      <c r="W15" s="5" t="str">
        <f t="shared" ref="W15:W20" si="19">IFERROR(W7*W$14,"N/A")</f>
        <v>N/A</v>
      </c>
      <c r="X15" s="6" t="str">
        <f t="shared" ref="X15:X20" si="20">IFERROR(X7*W$14,"N/A")</f>
        <v>N/A</v>
      </c>
      <c r="Y15" s="6" t="str">
        <f t="shared" ref="Y15:Y20" si="21">IFERROR(Y7*W$14,"N/A")</f>
        <v>N/A</v>
      </c>
      <c r="Z15" s="7" t="str">
        <f t="shared" ref="Z15:Z20" si="22">IFERROR(Z7*W$14,"N/A")</f>
        <v>N/A</v>
      </c>
      <c r="AA15" s="8"/>
      <c r="AB15" s="9" t="str">
        <f t="shared" ref="AB15:AB20" si="23">IFERROR(AB7*AB$14,"N/A")</f>
        <v>N/A</v>
      </c>
      <c r="AC15" s="10" t="str">
        <f t="shared" ref="AC15:AC20" si="24">IFERROR(AC7*AB$14,"N/A")</f>
        <v>N/A</v>
      </c>
      <c r="AD15" s="10" t="str">
        <f t="shared" ref="AD15:AD20" si="25">IFERROR(AD7*AB$14,"N/A")</f>
        <v>N/A</v>
      </c>
      <c r="AE15" s="11" t="str">
        <f t="shared" ref="AE15:AE20" si="26">IFERROR(AE7*AB$14,"N/A")</f>
        <v>N/A</v>
      </c>
      <c r="AF15" s="88"/>
      <c r="AG15" s="5">
        <f t="shared" ref="AG15:AJ19" si="27">ROUNDDOWN(AG7*$C$14,1)</f>
        <v>25.1</v>
      </c>
      <c r="AH15" s="6">
        <f t="shared" si="27"/>
        <v>31.8</v>
      </c>
      <c r="AI15" s="6">
        <f t="shared" si="27"/>
        <v>67.099999999999994</v>
      </c>
      <c r="AJ15" s="107">
        <f t="shared" si="27"/>
        <v>77.2</v>
      </c>
      <c r="AK15" s="108"/>
      <c r="AL15" s="109">
        <f t="shared" ref="AL15:AO19" si="28">ROUNDDOWN(AL7*$C$14,1)</f>
        <v>38.5</v>
      </c>
      <c r="AM15" s="10">
        <f t="shared" si="28"/>
        <v>52.5</v>
      </c>
      <c r="AN15" s="10">
        <f t="shared" si="28"/>
        <v>83.2</v>
      </c>
      <c r="AO15" s="11">
        <f t="shared" si="28"/>
        <v>92.1</v>
      </c>
      <c r="AP15" s="88"/>
      <c r="AS15" s="32"/>
      <c r="AT15" s="56"/>
      <c r="AU15" s="56"/>
      <c r="AV15" s="56"/>
      <c r="AW15" s="56"/>
      <c r="AX15" s="56"/>
      <c r="AY15" s="56"/>
      <c r="AZ15" s="56"/>
    </row>
    <row r="16" spans="1:54" ht="14.45" customHeight="1" x14ac:dyDescent="0.25">
      <c r="A16" s="222"/>
      <c r="B16" s="27" t="s">
        <v>24</v>
      </c>
      <c r="C16" s="112">
        <f t="shared" si="3"/>
        <v>11.052600000000002</v>
      </c>
      <c r="D16" s="113">
        <f t="shared" si="4"/>
        <v>17.113</v>
      </c>
      <c r="E16" s="113">
        <f t="shared" si="5"/>
        <v>33.713700000000003</v>
      </c>
      <c r="F16" s="114">
        <f t="shared" si="6"/>
        <v>38.989300000000007</v>
      </c>
      <c r="G16" s="108"/>
      <c r="H16" s="115">
        <f t="shared" si="7"/>
        <v>16.895</v>
      </c>
      <c r="I16" s="116">
        <f t="shared" si="8"/>
        <v>26.214500000000001</v>
      </c>
      <c r="J16" s="116">
        <f t="shared" si="9"/>
        <v>38.684100000000008</v>
      </c>
      <c r="K16" s="117">
        <f t="shared" si="10"/>
        <v>46.172400000000003</v>
      </c>
      <c r="L16" s="8"/>
      <c r="M16" s="12">
        <f t="shared" si="11"/>
        <v>14.591830000000002</v>
      </c>
      <c r="N16" s="13">
        <f t="shared" si="12"/>
        <v>22.589160000000003</v>
      </c>
      <c r="O16" s="13">
        <f t="shared" si="13"/>
        <v>44.506880000000002</v>
      </c>
      <c r="P16" s="14">
        <f t="shared" si="14"/>
        <v>51.46108000000001</v>
      </c>
      <c r="Q16" s="8"/>
      <c r="R16" s="15">
        <f t="shared" si="15"/>
        <v>22.301400000000008</v>
      </c>
      <c r="S16" s="16">
        <f t="shared" si="16"/>
        <v>34.603140000000003</v>
      </c>
      <c r="T16" s="16">
        <f t="shared" si="17"/>
        <v>51.065410000000014</v>
      </c>
      <c r="U16" s="17">
        <f t="shared" si="18"/>
        <v>60.945170000000012</v>
      </c>
      <c r="W16" s="12" t="str">
        <f t="shared" si="19"/>
        <v>N/A</v>
      </c>
      <c r="X16" s="13" t="str">
        <f t="shared" si="20"/>
        <v>N/A</v>
      </c>
      <c r="Y16" s="13" t="str">
        <f t="shared" si="21"/>
        <v>N/A</v>
      </c>
      <c r="Z16" s="14" t="str">
        <f t="shared" si="22"/>
        <v>N/A</v>
      </c>
      <c r="AA16" s="8"/>
      <c r="AB16" s="15" t="str">
        <f t="shared" si="23"/>
        <v>N/A</v>
      </c>
      <c r="AC16" s="16" t="str">
        <f t="shared" si="24"/>
        <v>N/A</v>
      </c>
      <c r="AD16" s="16" t="str">
        <f t="shared" si="25"/>
        <v>N/A</v>
      </c>
      <c r="AE16" s="17" t="str">
        <f t="shared" si="26"/>
        <v>N/A</v>
      </c>
      <c r="AF16" s="88"/>
      <c r="AG16" s="12">
        <f t="shared" si="27"/>
        <v>26.4</v>
      </c>
      <c r="AH16" s="13">
        <f t="shared" si="27"/>
        <v>40.9</v>
      </c>
      <c r="AI16" s="13">
        <f t="shared" si="27"/>
        <v>80.8</v>
      </c>
      <c r="AJ16" s="114">
        <f t="shared" si="27"/>
        <v>93.5</v>
      </c>
      <c r="AK16" s="108"/>
      <c r="AL16" s="115">
        <f t="shared" si="28"/>
        <v>40.5</v>
      </c>
      <c r="AM16" s="16">
        <f t="shared" si="28"/>
        <v>62.8</v>
      </c>
      <c r="AN16" s="16">
        <f t="shared" si="28"/>
        <v>92.7</v>
      </c>
      <c r="AO16" s="17">
        <f t="shared" si="28"/>
        <v>110.7</v>
      </c>
      <c r="AP16" s="88"/>
      <c r="AQ16" s="37"/>
      <c r="AR16" s="37"/>
      <c r="AS16" s="32"/>
      <c r="AT16" s="56"/>
      <c r="AU16" s="56"/>
      <c r="AV16" s="56"/>
      <c r="AW16" s="56"/>
      <c r="AX16" s="56"/>
      <c r="AY16" s="56"/>
      <c r="AZ16" s="56"/>
    </row>
    <row r="17" spans="1:52" ht="14.45" customHeight="1" x14ac:dyDescent="0.25">
      <c r="A17" s="222"/>
      <c r="B17" s="27" t="s">
        <v>25</v>
      </c>
      <c r="C17" s="112">
        <f t="shared" si="3"/>
        <v>12.197100000000001</v>
      </c>
      <c r="D17" s="113">
        <f t="shared" si="4"/>
        <v>20.1432</v>
      </c>
      <c r="E17" s="113">
        <f t="shared" si="5"/>
        <v>41.147500000000001</v>
      </c>
      <c r="F17" s="114">
        <f t="shared" si="6"/>
        <v>48.1235</v>
      </c>
      <c r="G17" s="108"/>
      <c r="H17" s="115">
        <f t="shared" si="7"/>
        <v>18.671700000000001</v>
      </c>
      <c r="I17" s="116">
        <f t="shared" si="8"/>
        <v>29.397300000000001</v>
      </c>
      <c r="J17" s="116">
        <f t="shared" si="9"/>
        <v>47.567600000000006</v>
      </c>
      <c r="K17" s="117">
        <f t="shared" si="10"/>
        <v>53.475400000000008</v>
      </c>
      <c r="L17" s="8"/>
      <c r="M17" s="12">
        <f t="shared" si="11"/>
        <v>16.102570000000004</v>
      </c>
      <c r="N17" s="13">
        <f t="shared" si="12"/>
        <v>26.593820000000004</v>
      </c>
      <c r="O17" s="13">
        <f t="shared" si="13"/>
        <v>54.314700000000002</v>
      </c>
      <c r="P17" s="14">
        <f t="shared" si="14"/>
        <v>63.523020000000002</v>
      </c>
      <c r="Q17" s="8"/>
      <c r="R17" s="15">
        <f t="shared" si="15"/>
        <v>24.651440000000001</v>
      </c>
      <c r="S17" s="16">
        <f t="shared" si="16"/>
        <v>38.799640000000004</v>
      </c>
      <c r="T17" s="16">
        <f t="shared" si="17"/>
        <v>62.791630000000005</v>
      </c>
      <c r="U17" s="17">
        <f t="shared" si="18"/>
        <v>70.585130000000007</v>
      </c>
      <c r="W17" s="12" t="str">
        <f t="shared" si="19"/>
        <v>N/A</v>
      </c>
      <c r="X17" s="13" t="str">
        <f t="shared" si="20"/>
        <v>N/A</v>
      </c>
      <c r="Y17" s="13" t="str">
        <f t="shared" si="21"/>
        <v>N/A</v>
      </c>
      <c r="Z17" s="14" t="str">
        <f t="shared" si="22"/>
        <v>N/A</v>
      </c>
      <c r="AA17" s="8"/>
      <c r="AB17" s="15" t="str">
        <f t="shared" si="23"/>
        <v>N/A</v>
      </c>
      <c r="AC17" s="16" t="str">
        <f t="shared" si="24"/>
        <v>N/A</v>
      </c>
      <c r="AD17" s="16" t="str">
        <f t="shared" si="25"/>
        <v>N/A</v>
      </c>
      <c r="AE17" s="17" t="str">
        <f t="shared" si="26"/>
        <v>N/A</v>
      </c>
      <c r="AF17" s="88"/>
      <c r="AG17" s="12">
        <f t="shared" si="27"/>
        <v>29.2</v>
      </c>
      <c r="AH17" s="13">
        <f t="shared" si="27"/>
        <v>48.2</v>
      </c>
      <c r="AI17" s="13">
        <f t="shared" si="27"/>
        <v>98.7</v>
      </c>
      <c r="AJ17" s="114">
        <f t="shared" si="27"/>
        <v>115.4</v>
      </c>
      <c r="AK17" s="108"/>
      <c r="AL17" s="115">
        <f t="shared" si="28"/>
        <v>44.7</v>
      </c>
      <c r="AM17" s="16">
        <f t="shared" si="28"/>
        <v>70.5</v>
      </c>
      <c r="AN17" s="16">
        <f t="shared" si="28"/>
        <v>114.1</v>
      </c>
      <c r="AO17" s="17">
        <f t="shared" si="28"/>
        <v>128.19999999999999</v>
      </c>
      <c r="AP17" s="88"/>
      <c r="AS17" s="32"/>
      <c r="AT17" s="56"/>
      <c r="AU17" s="56"/>
      <c r="AV17" s="56"/>
      <c r="AW17" s="56"/>
      <c r="AX17" s="56"/>
      <c r="AY17" s="56"/>
      <c r="AZ17" s="56"/>
    </row>
    <row r="18" spans="1:52" ht="14.45" customHeight="1" x14ac:dyDescent="0.25">
      <c r="A18" s="222"/>
      <c r="B18" s="27" t="s">
        <v>26</v>
      </c>
      <c r="C18" s="112">
        <f t="shared" si="3"/>
        <v>13.450600000000001</v>
      </c>
      <c r="D18" s="113">
        <f t="shared" si="4"/>
        <v>26.606900000000003</v>
      </c>
      <c r="E18" s="113">
        <f t="shared" si="5"/>
        <v>50.815800000000003</v>
      </c>
      <c r="F18" s="114">
        <f t="shared" si="6"/>
        <v>60.298800000000007</v>
      </c>
      <c r="G18" s="108"/>
      <c r="H18" s="115">
        <f t="shared" si="7"/>
        <v>20.557400000000001</v>
      </c>
      <c r="I18" s="116">
        <f t="shared" si="8"/>
        <v>37.506900000000002</v>
      </c>
      <c r="J18" s="116">
        <f t="shared" si="9"/>
        <v>58.674700000000001</v>
      </c>
      <c r="K18" s="117">
        <f t="shared" si="10"/>
        <v>69.334900000000005</v>
      </c>
      <c r="L18" s="8"/>
      <c r="M18" s="12">
        <f t="shared" si="11"/>
        <v>17.757190000000001</v>
      </c>
      <c r="N18" s="13">
        <f t="shared" si="12"/>
        <v>35.118710000000007</v>
      </c>
      <c r="O18" s="13">
        <f t="shared" si="13"/>
        <v>67.072060000000008</v>
      </c>
      <c r="P18" s="14">
        <f t="shared" si="14"/>
        <v>79.589620000000011</v>
      </c>
      <c r="Q18" s="8"/>
      <c r="R18" s="15">
        <f t="shared" si="15"/>
        <v>27.133370000000003</v>
      </c>
      <c r="S18" s="16">
        <f t="shared" si="16"/>
        <v>49.506710000000005</v>
      </c>
      <c r="T18" s="16">
        <f t="shared" si="17"/>
        <v>77.455400000000012</v>
      </c>
      <c r="U18" s="17">
        <f t="shared" si="18"/>
        <v>91.519670000000019</v>
      </c>
      <c r="W18" s="12" t="str">
        <f t="shared" si="19"/>
        <v>N/A</v>
      </c>
      <c r="X18" s="13" t="str">
        <f t="shared" si="20"/>
        <v>N/A</v>
      </c>
      <c r="Y18" s="13" t="str">
        <f t="shared" si="21"/>
        <v>N/A</v>
      </c>
      <c r="Z18" s="14" t="str">
        <f t="shared" si="22"/>
        <v>N/A</v>
      </c>
      <c r="AA18" s="8"/>
      <c r="AB18" s="15" t="str">
        <f t="shared" si="23"/>
        <v>N/A</v>
      </c>
      <c r="AC18" s="16" t="str">
        <f t="shared" si="24"/>
        <v>N/A</v>
      </c>
      <c r="AD18" s="16" t="str">
        <f t="shared" si="25"/>
        <v>N/A</v>
      </c>
      <c r="AE18" s="17" t="str">
        <f t="shared" si="26"/>
        <v>N/A</v>
      </c>
      <c r="AF18" s="88"/>
      <c r="AG18" s="12">
        <f t="shared" si="27"/>
        <v>32.200000000000003</v>
      </c>
      <c r="AH18" s="13">
        <f t="shared" si="27"/>
        <v>63.7</v>
      </c>
      <c r="AI18" s="13">
        <f t="shared" si="27"/>
        <v>121.8</v>
      </c>
      <c r="AJ18" s="114">
        <f t="shared" si="27"/>
        <v>144.6</v>
      </c>
      <c r="AK18" s="108"/>
      <c r="AL18" s="115">
        <f t="shared" si="28"/>
        <v>49.2</v>
      </c>
      <c r="AM18" s="16">
        <f t="shared" si="28"/>
        <v>89.9</v>
      </c>
      <c r="AN18" s="16">
        <f t="shared" si="28"/>
        <v>140.69999999999999</v>
      </c>
      <c r="AO18" s="17">
        <f t="shared" si="28"/>
        <v>166.3</v>
      </c>
      <c r="AP18" s="88"/>
      <c r="AS18" s="32"/>
    </row>
    <row r="19" spans="1:52" ht="14.45" customHeight="1" x14ac:dyDescent="0.25">
      <c r="A19" s="222"/>
      <c r="B19" s="27" t="s">
        <v>27</v>
      </c>
      <c r="C19" s="112">
        <f t="shared" si="3"/>
        <v>13.4724</v>
      </c>
      <c r="D19" s="113">
        <f t="shared" si="4"/>
        <v>31.3811</v>
      </c>
      <c r="E19" s="113">
        <f t="shared" si="5"/>
        <v>57.116</v>
      </c>
      <c r="F19" s="114">
        <f t="shared" si="6"/>
        <v>66.511800000000008</v>
      </c>
      <c r="G19" s="108"/>
      <c r="H19" s="115">
        <f t="shared" si="7"/>
        <v>20.568300000000004</v>
      </c>
      <c r="I19" s="116">
        <f t="shared" si="8"/>
        <v>43.948800000000006</v>
      </c>
      <c r="J19" s="116">
        <f t="shared" si="9"/>
        <v>64.767800000000008</v>
      </c>
      <c r="K19" s="117">
        <f t="shared" si="10"/>
        <v>75.046499999999995</v>
      </c>
      <c r="L19" s="8"/>
      <c r="M19" s="12">
        <f t="shared" si="11"/>
        <v>17.781170000000003</v>
      </c>
      <c r="N19" s="13">
        <f t="shared" si="12"/>
        <v>41.425450000000005</v>
      </c>
      <c r="O19" s="13">
        <f t="shared" si="13"/>
        <v>75.39312000000001</v>
      </c>
      <c r="P19" s="14">
        <f t="shared" si="14"/>
        <v>87.790780000000012</v>
      </c>
      <c r="Q19" s="8"/>
      <c r="R19" s="15">
        <f t="shared" si="15"/>
        <v>27.145360000000007</v>
      </c>
      <c r="S19" s="16">
        <f t="shared" si="16"/>
        <v>58.007620000000017</v>
      </c>
      <c r="T19" s="16">
        <f t="shared" si="17"/>
        <v>85.488700000000009</v>
      </c>
      <c r="U19" s="17">
        <f t="shared" si="18"/>
        <v>99.061380000000028</v>
      </c>
      <c r="W19" s="12" t="str">
        <f t="shared" si="19"/>
        <v>N/A</v>
      </c>
      <c r="X19" s="13" t="str">
        <f t="shared" si="20"/>
        <v>N/A</v>
      </c>
      <c r="Y19" s="13" t="str">
        <f t="shared" si="21"/>
        <v>N/A</v>
      </c>
      <c r="Z19" s="14" t="str">
        <f t="shared" si="22"/>
        <v>N/A</v>
      </c>
      <c r="AA19" s="8"/>
      <c r="AB19" s="15" t="str">
        <f t="shared" si="23"/>
        <v>N/A</v>
      </c>
      <c r="AC19" s="16" t="str">
        <f t="shared" si="24"/>
        <v>N/A</v>
      </c>
      <c r="AD19" s="16" t="str">
        <f t="shared" si="25"/>
        <v>N/A</v>
      </c>
      <c r="AE19" s="17" t="str">
        <f t="shared" si="26"/>
        <v>N/A</v>
      </c>
      <c r="AF19" s="88"/>
      <c r="AG19" s="112">
        <f t="shared" si="27"/>
        <v>32.200000000000003</v>
      </c>
      <c r="AH19" s="13">
        <f t="shared" si="27"/>
        <v>75.2</v>
      </c>
      <c r="AI19" s="13">
        <f t="shared" si="27"/>
        <v>137</v>
      </c>
      <c r="AJ19" s="114">
        <f t="shared" si="27"/>
        <v>159.5</v>
      </c>
      <c r="AK19" s="108"/>
      <c r="AL19" s="115">
        <f t="shared" si="28"/>
        <v>49.2</v>
      </c>
      <c r="AM19" s="16">
        <f t="shared" si="28"/>
        <v>105.4</v>
      </c>
      <c r="AN19" s="16">
        <f t="shared" si="28"/>
        <v>155.4</v>
      </c>
      <c r="AO19" s="17">
        <f t="shared" si="28"/>
        <v>180</v>
      </c>
      <c r="AP19" s="88"/>
      <c r="AS19" s="32"/>
      <c r="AT19" s="59"/>
      <c r="AU19" s="59"/>
      <c r="AV19" s="59"/>
      <c r="AW19" s="59"/>
      <c r="AX19" s="59"/>
      <c r="AY19" s="59"/>
      <c r="AZ19" s="59"/>
    </row>
    <row r="20" spans="1:52" ht="14.45" customHeight="1" thickBot="1" x14ac:dyDescent="0.3">
      <c r="A20" s="223"/>
      <c r="B20" s="27" t="s">
        <v>29</v>
      </c>
      <c r="C20" s="112" t="str">
        <f t="shared" si="3"/>
        <v>N/A</v>
      </c>
      <c r="D20" s="113">
        <f t="shared" si="4"/>
        <v>4.8552960000000001</v>
      </c>
      <c r="E20" s="113">
        <f t="shared" si="5"/>
        <v>8.0769000000000002</v>
      </c>
      <c r="F20" s="114">
        <f t="shared" si="6"/>
        <v>10.9</v>
      </c>
      <c r="G20" s="108"/>
      <c r="H20" s="115" t="str">
        <f t="shared" si="7"/>
        <v>N/A</v>
      </c>
      <c r="I20" s="116">
        <f t="shared" si="8"/>
        <v>5.6789000000000005</v>
      </c>
      <c r="J20" s="116">
        <f t="shared" si="9"/>
        <v>8.8290000000000006</v>
      </c>
      <c r="K20" s="117">
        <f t="shared" si="10"/>
        <v>11.793800000000001</v>
      </c>
      <c r="L20" s="8"/>
      <c r="M20" s="12" t="str">
        <f t="shared" si="11"/>
        <v>N/A</v>
      </c>
      <c r="N20" s="13">
        <f t="shared" si="12"/>
        <v>5.5273900000000014</v>
      </c>
      <c r="O20" s="13">
        <f t="shared" si="13"/>
        <v>10.659110000000002</v>
      </c>
      <c r="P20" s="14">
        <f t="shared" si="14"/>
        <v>14.388000000000002</v>
      </c>
      <c r="Q20" s="8"/>
      <c r="R20" s="15" t="str">
        <f t="shared" si="15"/>
        <v>N/A</v>
      </c>
      <c r="S20" s="16">
        <f t="shared" si="16"/>
        <v>7.4937500000000012</v>
      </c>
      <c r="T20" s="16">
        <f t="shared" si="17"/>
        <v>11.654280000000004</v>
      </c>
      <c r="U20" s="17">
        <f t="shared" si="18"/>
        <v>15.563020000000003</v>
      </c>
      <c r="W20" s="12" t="str">
        <f t="shared" si="19"/>
        <v>N/A</v>
      </c>
      <c r="X20" s="13" t="str">
        <f t="shared" si="20"/>
        <v>N/A</v>
      </c>
      <c r="Y20" s="13" t="str">
        <f t="shared" si="21"/>
        <v>N/A</v>
      </c>
      <c r="Z20" s="14" t="str">
        <f t="shared" si="22"/>
        <v>N/A</v>
      </c>
      <c r="AA20" s="8"/>
      <c r="AB20" s="15" t="str">
        <f t="shared" si="23"/>
        <v>N/A</v>
      </c>
      <c r="AC20" s="16" t="str">
        <f t="shared" si="24"/>
        <v>N/A</v>
      </c>
      <c r="AD20" s="16" t="str">
        <f t="shared" si="25"/>
        <v>N/A</v>
      </c>
      <c r="AE20" s="17" t="str">
        <f t="shared" si="26"/>
        <v>N/A</v>
      </c>
      <c r="AF20" s="88"/>
      <c r="AG20" s="112" t="s">
        <v>118</v>
      </c>
      <c r="AH20" s="13">
        <f>ROUNDDOWN(AH12*$C$14,1)</f>
        <v>11.5</v>
      </c>
      <c r="AI20" s="13">
        <f>ROUNDDOWN(AI12*$C$14,1)</f>
        <v>19.2</v>
      </c>
      <c r="AJ20" s="114">
        <f>ROUNDDOWN(AJ12*$C$14,1)</f>
        <v>26.1</v>
      </c>
      <c r="AK20" s="108"/>
      <c r="AL20" s="115" t="s">
        <v>118</v>
      </c>
      <c r="AM20" s="16">
        <f>ROUNDDOWN(AM12*$C$14,1)</f>
        <v>13.6</v>
      </c>
      <c r="AN20" s="16">
        <f>ROUNDDOWN(AN12*$C$14,1)</f>
        <v>21.1</v>
      </c>
      <c r="AO20" s="17">
        <f>ROUNDDOWN(AO12*$C$14,1)</f>
        <v>28.2</v>
      </c>
      <c r="AP20" s="88"/>
      <c r="AS20" s="32"/>
      <c r="AT20" s="59"/>
      <c r="AU20" s="59"/>
      <c r="AV20" s="59"/>
      <c r="AW20" s="59"/>
      <c r="AX20" s="59"/>
      <c r="AY20" s="59"/>
      <c r="AZ20" s="59"/>
    </row>
    <row r="21" spans="1:52" ht="5.0999999999999996" customHeight="1" thickBot="1" x14ac:dyDescent="0.3"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W21" s="8"/>
      <c r="X21" s="8"/>
      <c r="Y21" s="8"/>
      <c r="Z21" s="8"/>
      <c r="AA21" s="8"/>
      <c r="AB21" s="8"/>
      <c r="AC21" s="8"/>
      <c r="AD21" s="8"/>
      <c r="AE21" s="8"/>
      <c r="AF21" s="89"/>
      <c r="AG21" s="108"/>
      <c r="AH21" s="108"/>
      <c r="AI21" s="108"/>
      <c r="AJ21" s="108"/>
      <c r="AK21" s="108"/>
      <c r="AL21" s="108"/>
      <c r="AM21" s="108"/>
      <c r="AN21" s="108"/>
      <c r="AO21" s="108"/>
      <c r="AP21" s="89"/>
    </row>
    <row r="22" spans="1:52" ht="15.75" thickBot="1" x14ac:dyDescent="0.3">
      <c r="B22" s="28" t="s">
        <v>119</v>
      </c>
      <c r="C22" s="31">
        <v>2.38</v>
      </c>
      <c r="D22" s="28"/>
      <c r="E22" s="28"/>
      <c r="F22" s="28"/>
      <c r="G22" s="28"/>
      <c r="H22" s="31">
        <v>2.38</v>
      </c>
      <c r="I22" s="28"/>
      <c r="J22" s="28"/>
      <c r="K22" s="28"/>
      <c r="L22" s="28"/>
      <c r="M22" s="31">
        <v>2.38</v>
      </c>
      <c r="N22" s="28"/>
      <c r="O22" s="28"/>
      <c r="P22" s="28"/>
      <c r="Q22" s="28"/>
      <c r="R22" s="31">
        <v>2.38</v>
      </c>
      <c r="T22" s="8"/>
      <c r="U22" s="8"/>
      <c r="W22" s="31">
        <v>2.1800000000000002</v>
      </c>
      <c r="X22" s="28"/>
      <c r="Y22" s="28"/>
      <c r="Z22" s="28"/>
      <c r="AA22" s="28"/>
      <c r="AB22" s="31">
        <v>2.1800000000000002</v>
      </c>
      <c r="AD22" s="8"/>
      <c r="AE22" s="8"/>
      <c r="AF22" s="89"/>
      <c r="AG22" s="108"/>
      <c r="AH22" s="108"/>
      <c r="AI22" s="108"/>
      <c r="AJ22" s="108"/>
      <c r="AN22" s="108"/>
      <c r="AO22" s="108"/>
      <c r="AP22" s="89"/>
    </row>
    <row r="23" spans="1:52" ht="14.45" customHeight="1" x14ac:dyDescent="0.25">
      <c r="A23" s="221" t="s">
        <v>121</v>
      </c>
      <c r="B23" s="26" t="s">
        <v>23</v>
      </c>
      <c r="C23" s="105">
        <f t="shared" ref="C23:C28" si="29">IFERROR(C7*C$22,"N/A")</f>
        <v>22.9908</v>
      </c>
      <c r="D23" s="106">
        <f t="shared" ref="D23:D28" si="30">IFERROR(D7*C$22,"N/A")</f>
        <v>29.035999999999998</v>
      </c>
      <c r="E23" s="106">
        <f t="shared" ref="E23:E28" si="31">IFERROR(E7*C$22,"N/A")</f>
        <v>61.118399999999994</v>
      </c>
      <c r="F23" s="107">
        <f t="shared" ref="F23:F28" si="32">IFERROR(F7*C$22,"N/A")</f>
        <v>70.352799999999988</v>
      </c>
      <c r="G23" s="108"/>
      <c r="H23" s="109">
        <f t="shared" ref="H23:H28" si="33">IFERROR(H7*H$22,"N/A")</f>
        <v>35.128799999999998</v>
      </c>
      <c r="I23" s="110">
        <f t="shared" ref="I23:I28" si="34">IFERROR(I7*H$22,"N/A")</f>
        <v>47.8142</v>
      </c>
      <c r="J23" s="110">
        <f t="shared" ref="J23:J28" si="35">IFERROR(J7*H$22,"N/A")</f>
        <v>75.802999999999997</v>
      </c>
      <c r="K23" s="111">
        <f t="shared" ref="K23:K28" si="36">IFERROR(K7*H$22,"N/A")</f>
        <v>83.823599999999999</v>
      </c>
      <c r="L23" s="8"/>
      <c r="M23" s="5">
        <f t="shared" ref="M23:M28" si="37">IFERROR(M7*M$22,"N/A")</f>
        <v>30.34262</v>
      </c>
      <c r="N23" s="6">
        <f t="shared" ref="N23:N28" si="38">IFERROR(N7*M$22,"N/A")</f>
        <v>38.327520000000007</v>
      </c>
      <c r="O23" s="6">
        <f t="shared" ref="O23:O28" si="39">IFERROR(O7*M$22,"N/A")</f>
        <v>80.686759999999992</v>
      </c>
      <c r="P23" s="7">
        <f t="shared" ref="P23:P28" si="40">IFERROR(P7*M$22,"N/A")</f>
        <v>92.860460000000003</v>
      </c>
      <c r="Q23" s="8"/>
      <c r="R23" s="9">
        <f t="shared" ref="R23:R28" si="41">IFERROR(R7*R$22,"N/A")</f>
        <v>46.364780000000003</v>
      </c>
      <c r="S23" s="10">
        <f t="shared" ref="S23:S28" si="42">IFERROR(S7*R$22,"N/A")</f>
        <v>63.119979999999998</v>
      </c>
      <c r="T23" s="10">
        <f t="shared" ref="T23:T28" si="43">IFERROR(T7*R$22,"N/A")</f>
        <v>100.05996</v>
      </c>
      <c r="U23" s="11">
        <f t="shared" ref="U23:U28" si="44">IFERROR(U7*R$22,"N/A")</f>
        <v>110.63668</v>
      </c>
      <c r="W23" s="5" t="str">
        <f t="shared" ref="W23:W28" si="45">IFERROR(W7*W$22,"N/A")</f>
        <v>N/A</v>
      </c>
      <c r="X23" s="6" t="str">
        <f t="shared" ref="X23:X28" si="46">IFERROR(X7*W$22,"N/A")</f>
        <v>N/A</v>
      </c>
      <c r="Y23" s="6" t="str">
        <f t="shared" ref="Y23:Y28" si="47">IFERROR(Y7*W$22,"N/A")</f>
        <v>N/A</v>
      </c>
      <c r="Z23" s="7" t="str">
        <f t="shared" ref="Z23:Z28" si="48">IFERROR(Z7*W$22,"N/A")</f>
        <v>N/A</v>
      </c>
      <c r="AA23" s="8"/>
      <c r="AB23" s="9" t="str">
        <f t="shared" ref="AB23:AB28" si="49">IFERROR(AB7*AB$22,"N/A")</f>
        <v>N/A</v>
      </c>
      <c r="AC23" s="10" t="str">
        <f t="shared" ref="AC23:AC28" si="50">IFERROR(AC7*AB$22,"N/A")</f>
        <v>N/A</v>
      </c>
      <c r="AD23" s="10" t="str">
        <f t="shared" ref="AD23:AD28" si="51">IFERROR(AD7*AB$22,"N/A")</f>
        <v>N/A</v>
      </c>
      <c r="AE23" s="11" t="str">
        <f t="shared" ref="AE23:AE28" si="52">IFERROR(AE7*AB$22,"N/A")</f>
        <v>N/A</v>
      </c>
      <c r="AF23" s="88"/>
      <c r="AG23" s="5">
        <f t="shared" ref="AG23:AJ27" si="53">ROUNDDOWN(AG7*$C$22,1)</f>
        <v>54.9</v>
      </c>
      <c r="AH23" s="6">
        <f t="shared" si="53"/>
        <v>69.400000000000006</v>
      </c>
      <c r="AI23" s="6">
        <f t="shared" si="53"/>
        <v>146.6</v>
      </c>
      <c r="AJ23" s="107">
        <f t="shared" si="53"/>
        <v>168.7</v>
      </c>
      <c r="AK23" s="108"/>
      <c r="AL23" s="109">
        <f t="shared" ref="AL23:AO27" si="54">ROUNDDOWN(AL7*$C$22,1)</f>
        <v>84.2</v>
      </c>
      <c r="AM23" s="10">
        <f t="shared" si="54"/>
        <v>114.7</v>
      </c>
      <c r="AN23" s="10">
        <f t="shared" si="54"/>
        <v>181.8</v>
      </c>
      <c r="AO23" s="11">
        <f t="shared" si="54"/>
        <v>201.1</v>
      </c>
      <c r="AP23" s="88"/>
    </row>
    <row r="24" spans="1:52" ht="14.45" customHeight="1" x14ac:dyDescent="0.25">
      <c r="A24" s="222"/>
      <c r="B24" s="27" t="s">
        <v>24</v>
      </c>
      <c r="C24" s="112">
        <f t="shared" si="29"/>
        <v>24.133199999999999</v>
      </c>
      <c r="D24" s="113">
        <f t="shared" si="30"/>
        <v>37.366</v>
      </c>
      <c r="E24" s="113">
        <f t="shared" si="31"/>
        <v>73.613399999999999</v>
      </c>
      <c r="F24" s="114">
        <f t="shared" si="32"/>
        <v>85.132600000000011</v>
      </c>
      <c r="G24" s="108"/>
      <c r="H24" s="115">
        <f t="shared" si="33"/>
        <v>36.89</v>
      </c>
      <c r="I24" s="116">
        <f t="shared" si="34"/>
        <v>57.238999999999997</v>
      </c>
      <c r="J24" s="116">
        <f t="shared" si="35"/>
        <v>84.466200000000001</v>
      </c>
      <c r="K24" s="117">
        <f t="shared" si="36"/>
        <v>100.8168</v>
      </c>
      <c r="L24" s="8"/>
      <c r="M24" s="12">
        <f t="shared" si="37"/>
        <v>31.861059999999998</v>
      </c>
      <c r="N24" s="13">
        <f t="shared" si="38"/>
        <v>49.323119999999996</v>
      </c>
      <c r="O24" s="13">
        <f t="shared" si="39"/>
        <v>97.180160000000001</v>
      </c>
      <c r="P24" s="14">
        <f t="shared" si="40"/>
        <v>112.36456</v>
      </c>
      <c r="Q24" s="8"/>
      <c r="R24" s="15">
        <f t="shared" si="41"/>
        <v>48.694800000000008</v>
      </c>
      <c r="S24" s="16">
        <f t="shared" si="42"/>
        <v>75.555480000000003</v>
      </c>
      <c r="T24" s="16">
        <f t="shared" si="43"/>
        <v>111.50062000000003</v>
      </c>
      <c r="U24" s="17">
        <f t="shared" si="44"/>
        <v>133.07294000000002</v>
      </c>
      <c r="W24" s="12" t="str">
        <f t="shared" si="45"/>
        <v>N/A</v>
      </c>
      <c r="X24" s="13" t="str">
        <f t="shared" si="46"/>
        <v>N/A</v>
      </c>
      <c r="Y24" s="13" t="str">
        <f t="shared" si="47"/>
        <v>N/A</v>
      </c>
      <c r="Z24" s="14" t="str">
        <f t="shared" si="48"/>
        <v>N/A</v>
      </c>
      <c r="AA24" s="8"/>
      <c r="AB24" s="15" t="str">
        <f t="shared" si="49"/>
        <v>N/A</v>
      </c>
      <c r="AC24" s="16" t="str">
        <f t="shared" si="50"/>
        <v>N/A</v>
      </c>
      <c r="AD24" s="16" t="str">
        <f t="shared" si="51"/>
        <v>N/A</v>
      </c>
      <c r="AE24" s="17" t="str">
        <f t="shared" si="52"/>
        <v>N/A</v>
      </c>
      <c r="AF24" s="88"/>
      <c r="AG24" s="12">
        <f t="shared" si="53"/>
        <v>57.8</v>
      </c>
      <c r="AH24" s="13">
        <f t="shared" si="53"/>
        <v>89.4</v>
      </c>
      <c r="AI24" s="13">
        <f t="shared" si="53"/>
        <v>176.5</v>
      </c>
      <c r="AJ24" s="114">
        <f t="shared" si="53"/>
        <v>204.2</v>
      </c>
      <c r="AK24" s="108"/>
      <c r="AL24" s="115">
        <f t="shared" si="54"/>
        <v>88.5</v>
      </c>
      <c r="AM24" s="16">
        <f t="shared" si="54"/>
        <v>137.30000000000001</v>
      </c>
      <c r="AN24" s="16">
        <f t="shared" si="54"/>
        <v>202.5</v>
      </c>
      <c r="AO24" s="17">
        <f t="shared" si="54"/>
        <v>241.8</v>
      </c>
      <c r="AP24" s="88"/>
    </row>
    <row r="25" spans="1:52" ht="14.45" customHeight="1" x14ac:dyDescent="0.25">
      <c r="A25" s="222"/>
      <c r="B25" s="27" t="s">
        <v>25</v>
      </c>
      <c r="C25" s="112">
        <f t="shared" si="29"/>
        <v>26.632199999999997</v>
      </c>
      <c r="D25" s="113">
        <f t="shared" si="30"/>
        <v>43.982399999999998</v>
      </c>
      <c r="E25" s="113">
        <f t="shared" si="31"/>
        <v>89.844999999999999</v>
      </c>
      <c r="F25" s="114">
        <f t="shared" si="32"/>
        <v>105.077</v>
      </c>
      <c r="G25" s="108"/>
      <c r="H25" s="115">
        <f t="shared" si="33"/>
        <v>40.769399999999997</v>
      </c>
      <c r="I25" s="116">
        <f t="shared" si="34"/>
        <v>64.188599999999994</v>
      </c>
      <c r="J25" s="116">
        <f t="shared" si="35"/>
        <v>103.86319999999999</v>
      </c>
      <c r="K25" s="117">
        <f t="shared" si="36"/>
        <v>116.7628</v>
      </c>
      <c r="L25" s="8"/>
      <c r="M25" s="12">
        <f t="shared" si="37"/>
        <v>35.159739999999999</v>
      </c>
      <c r="N25" s="13">
        <f t="shared" si="38"/>
        <v>58.067240000000005</v>
      </c>
      <c r="O25" s="13">
        <f t="shared" si="39"/>
        <v>118.59539999999998</v>
      </c>
      <c r="P25" s="14">
        <f t="shared" si="40"/>
        <v>138.70164</v>
      </c>
      <c r="Q25" s="8"/>
      <c r="R25" s="15">
        <f t="shared" si="41"/>
        <v>53.826079999999997</v>
      </c>
      <c r="S25" s="16">
        <f t="shared" si="42"/>
        <v>84.71848</v>
      </c>
      <c r="T25" s="16">
        <f t="shared" si="43"/>
        <v>137.10466</v>
      </c>
      <c r="U25" s="17">
        <f t="shared" si="44"/>
        <v>154.12165999999999</v>
      </c>
      <c r="W25" s="12" t="str">
        <f t="shared" si="45"/>
        <v>N/A</v>
      </c>
      <c r="X25" s="13" t="str">
        <f t="shared" si="46"/>
        <v>N/A</v>
      </c>
      <c r="Y25" s="13" t="str">
        <f t="shared" si="47"/>
        <v>N/A</v>
      </c>
      <c r="Z25" s="14" t="str">
        <f t="shared" si="48"/>
        <v>N/A</v>
      </c>
      <c r="AA25" s="8"/>
      <c r="AB25" s="15" t="str">
        <f t="shared" si="49"/>
        <v>N/A</v>
      </c>
      <c r="AC25" s="16" t="str">
        <f t="shared" si="50"/>
        <v>N/A</v>
      </c>
      <c r="AD25" s="16" t="str">
        <f t="shared" si="51"/>
        <v>N/A</v>
      </c>
      <c r="AE25" s="17" t="str">
        <f t="shared" si="52"/>
        <v>N/A</v>
      </c>
      <c r="AF25" s="88"/>
      <c r="AG25" s="12">
        <f t="shared" si="53"/>
        <v>63.7</v>
      </c>
      <c r="AH25" s="13">
        <f t="shared" si="53"/>
        <v>105.4</v>
      </c>
      <c r="AI25" s="13">
        <f t="shared" si="53"/>
        <v>215.6</v>
      </c>
      <c r="AJ25" s="114">
        <f t="shared" si="53"/>
        <v>252</v>
      </c>
      <c r="AK25" s="108"/>
      <c r="AL25" s="115">
        <f t="shared" si="54"/>
        <v>97.8</v>
      </c>
      <c r="AM25" s="16">
        <f t="shared" si="54"/>
        <v>153.9</v>
      </c>
      <c r="AN25" s="16">
        <f t="shared" si="54"/>
        <v>249.1</v>
      </c>
      <c r="AO25" s="17">
        <f t="shared" si="54"/>
        <v>280.10000000000002</v>
      </c>
      <c r="AP25" s="88"/>
    </row>
    <row r="26" spans="1:52" ht="14.45" customHeight="1" x14ac:dyDescent="0.25">
      <c r="A26" s="222"/>
      <c r="B26" s="27" t="s">
        <v>26</v>
      </c>
      <c r="C26" s="112">
        <f t="shared" si="29"/>
        <v>29.369199999999999</v>
      </c>
      <c r="D26" s="113">
        <f t="shared" si="30"/>
        <v>58.095799999999997</v>
      </c>
      <c r="E26" s="113">
        <f t="shared" si="31"/>
        <v>110.95559999999999</v>
      </c>
      <c r="F26" s="114">
        <f t="shared" si="32"/>
        <v>131.66159999999999</v>
      </c>
      <c r="G26" s="108"/>
      <c r="H26" s="115">
        <f t="shared" si="33"/>
        <v>44.886799999999994</v>
      </c>
      <c r="I26" s="116">
        <f t="shared" si="34"/>
        <v>81.895799999999994</v>
      </c>
      <c r="J26" s="116">
        <f t="shared" si="35"/>
        <v>128.11539999999999</v>
      </c>
      <c r="K26" s="117">
        <f t="shared" si="36"/>
        <v>151.39179999999999</v>
      </c>
      <c r="L26" s="8"/>
      <c r="M26" s="12">
        <f t="shared" si="37"/>
        <v>38.772579999999998</v>
      </c>
      <c r="N26" s="13">
        <f t="shared" si="38"/>
        <v>76.681219999999996</v>
      </c>
      <c r="O26" s="13">
        <f t="shared" si="39"/>
        <v>146.45092</v>
      </c>
      <c r="P26" s="14">
        <f t="shared" si="40"/>
        <v>173.78283999999999</v>
      </c>
      <c r="Q26" s="8"/>
      <c r="R26" s="15">
        <f t="shared" si="41"/>
        <v>59.245339999999999</v>
      </c>
      <c r="S26" s="16">
        <f t="shared" si="42"/>
        <v>108.09722000000001</v>
      </c>
      <c r="T26" s="16">
        <f t="shared" si="43"/>
        <v>169.12279999999998</v>
      </c>
      <c r="U26" s="17">
        <f t="shared" si="44"/>
        <v>199.83194</v>
      </c>
      <c r="W26" s="12" t="str">
        <f t="shared" si="45"/>
        <v>N/A</v>
      </c>
      <c r="X26" s="13" t="str">
        <f t="shared" si="46"/>
        <v>N/A</v>
      </c>
      <c r="Y26" s="13" t="str">
        <f t="shared" si="47"/>
        <v>N/A</v>
      </c>
      <c r="Z26" s="14" t="str">
        <f t="shared" si="48"/>
        <v>N/A</v>
      </c>
      <c r="AA26" s="8"/>
      <c r="AB26" s="15" t="str">
        <f t="shared" si="49"/>
        <v>N/A</v>
      </c>
      <c r="AC26" s="16" t="str">
        <f t="shared" si="50"/>
        <v>N/A</v>
      </c>
      <c r="AD26" s="16" t="str">
        <f t="shared" si="51"/>
        <v>N/A</v>
      </c>
      <c r="AE26" s="17" t="str">
        <f t="shared" si="52"/>
        <v>N/A</v>
      </c>
      <c r="AF26" s="88"/>
      <c r="AG26" s="12">
        <f t="shared" si="53"/>
        <v>70.400000000000006</v>
      </c>
      <c r="AH26" s="13">
        <f t="shared" si="53"/>
        <v>139.19999999999999</v>
      </c>
      <c r="AI26" s="13">
        <f t="shared" si="53"/>
        <v>266</v>
      </c>
      <c r="AJ26" s="114">
        <f t="shared" si="53"/>
        <v>315.8</v>
      </c>
      <c r="AK26" s="108"/>
      <c r="AL26" s="115">
        <f t="shared" si="54"/>
        <v>107.5</v>
      </c>
      <c r="AM26" s="16">
        <f t="shared" si="54"/>
        <v>196.3</v>
      </c>
      <c r="AN26" s="16">
        <f t="shared" si="54"/>
        <v>307.2</v>
      </c>
      <c r="AO26" s="17">
        <f t="shared" si="54"/>
        <v>363.1</v>
      </c>
      <c r="AP26" s="88"/>
      <c r="AQ26" s="37"/>
      <c r="AR26" s="37"/>
    </row>
    <row r="27" spans="1:52" ht="14.45" customHeight="1" x14ac:dyDescent="0.25">
      <c r="A27" s="222"/>
      <c r="B27" s="27" t="s">
        <v>27</v>
      </c>
      <c r="C27" s="112">
        <f t="shared" si="29"/>
        <v>29.416799999999999</v>
      </c>
      <c r="D27" s="113">
        <f t="shared" si="30"/>
        <v>68.520199999999988</v>
      </c>
      <c r="E27" s="113">
        <f t="shared" si="31"/>
        <v>124.71199999999999</v>
      </c>
      <c r="F27" s="114">
        <f t="shared" si="32"/>
        <v>145.2276</v>
      </c>
      <c r="G27" s="108"/>
      <c r="H27" s="115">
        <f t="shared" si="33"/>
        <v>44.910600000000002</v>
      </c>
      <c r="I27" s="116">
        <f t="shared" si="34"/>
        <v>95.96159999999999</v>
      </c>
      <c r="J27" s="116">
        <f t="shared" si="35"/>
        <v>141.4196</v>
      </c>
      <c r="K27" s="117">
        <f t="shared" si="36"/>
        <v>163.86299999999997</v>
      </c>
      <c r="L27" s="8"/>
      <c r="M27" s="12">
        <f t="shared" si="37"/>
        <v>38.824940000000005</v>
      </c>
      <c r="N27" s="13">
        <f t="shared" si="38"/>
        <v>90.451900000000009</v>
      </c>
      <c r="O27" s="13">
        <f t="shared" si="39"/>
        <v>164.61984000000001</v>
      </c>
      <c r="P27" s="14">
        <f t="shared" si="40"/>
        <v>191.68995999999999</v>
      </c>
      <c r="Q27" s="8"/>
      <c r="R27" s="15">
        <f t="shared" si="41"/>
        <v>59.271520000000002</v>
      </c>
      <c r="S27" s="16">
        <f t="shared" si="42"/>
        <v>126.65884000000003</v>
      </c>
      <c r="T27" s="16">
        <f t="shared" si="43"/>
        <v>186.6634</v>
      </c>
      <c r="U27" s="17">
        <f t="shared" si="44"/>
        <v>216.29916000000003</v>
      </c>
      <c r="W27" s="12" t="str">
        <f t="shared" si="45"/>
        <v>N/A</v>
      </c>
      <c r="X27" s="13" t="str">
        <f t="shared" si="46"/>
        <v>N/A</v>
      </c>
      <c r="Y27" s="13" t="str">
        <f t="shared" si="47"/>
        <v>N/A</v>
      </c>
      <c r="Z27" s="14" t="str">
        <f t="shared" si="48"/>
        <v>N/A</v>
      </c>
      <c r="AA27" s="8"/>
      <c r="AB27" s="15" t="str">
        <f t="shared" si="49"/>
        <v>N/A</v>
      </c>
      <c r="AC27" s="16" t="str">
        <f t="shared" si="50"/>
        <v>N/A</v>
      </c>
      <c r="AD27" s="16" t="str">
        <f t="shared" si="51"/>
        <v>N/A</v>
      </c>
      <c r="AE27" s="17" t="str">
        <f t="shared" si="52"/>
        <v>N/A</v>
      </c>
      <c r="AF27" s="88"/>
      <c r="AG27" s="112">
        <f t="shared" si="53"/>
        <v>70.400000000000006</v>
      </c>
      <c r="AH27" s="13">
        <f t="shared" si="53"/>
        <v>164.2</v>
      </c>
      <c r="AI27" s="13">
        <f t="shared" si="53"/>
        <v>299.10000000000002</v>
      </c>
      <c r="AJ27" s="114">
        <f t="shared" si="53"/>
        <v>348.4</v>
      </c>
      <c r="AK27" s="108"/>
      <c r="AL27" s="115">
        <f t="shared" si="54"/>
        <v>107.5</v>
      </c>
      <c r="AM27" s="16">
        <f t="shared" si="54"/>
        <v>230.1</v>
      </c>
      <c r="AN27" s="16">
        <f t="shared" si="54"/>
        <v>339.3</v>
      </c>
      <c r="AO27" s="17">
        <f t="shared" si="54"/>
        <v>393.1</v>
      </c>
      <c r="AP27" s="88"/>
    </row>
    <row r="28" spans="1:52" ht="14.45" customHeight="1" thickBot="1" x14ac:dyDescent="0.3">
      <c r="A28" s="223"/>
      <c r="B28" s="27" t="s">
        <v>29</v>
      </c>
      <c r="C28" s="112" t="str">
        <f t="shared" si="29"/>
        <v>N/A</v>
      </c>
      <c r="D28" s="113">
        <f t="shared" si="30"/>
        <v>10.601471999999999</v>
      </c>
      <c r="E28" s="113">
        <f t="shared" si="31"/>
        <v>17.6358</v>
      </c>
      <c r="F28" s="114">
        <f t="shared" si="32"/>
        <v>23.799999999999997</v>
      </c>
      <c r="G28" s="108"/>
      <c r="H28" s="115" t="str">
        <f t="shared" si="33"/>
        <v>N/A</v>
      </c>
      <c r="I28" s="116">
        <f t="shared" si="34"/>
        <v>12.399799999999999</v>
      </c>
      <c r="J28" s="116">
        <f t="shared" si="35"/>
        <v>19.277999999999999</v>
      </c>
      <c r="K28" s="117">
        <f t="shared" si="36"/>
        <v>25.7516</v>
      </c>
      <c r="L28" s="8"/>
      <c r="M28" s="12" t="str">
        <f t="shared" si="37"/>
        <v>N/A</v>
      </c>
      <c r="N28" s="13">
        <f t="shared" si="38"/>
        <v>12.068980000000002</v>
      </c>
      <c r="O28" s="13">
        <f t="shared" si="39"/>
        <v>23.274020000000004</v>
      </c>
      <c r="P28" s="14">
        <f t="shared" si="40"/>
        <v>31.416</v>
      </c>
      <c r="Q28" s="8"/>
      <c r="R28" s="15" t="str">
        <f t="shared" si="41"/>
        <v>N/A</v>
      </c>
      <c r="S28" s="16">
        <f t="shared" si="42"/>
        <v>16.362500000000001</v>
      </c>
      <c r="T28" s="16">
        <f t="shared" si="43"/>
        <v>25.446960000000004</v>
      </c>
      <c r="U28" s="17">
        <f t="shared" si="44"/>
        <v>33.981640000000006</v>
      </c>
      <c r="W28" s="12" t="str">
        <f t="shared" si="45"/>
        <v>N/A</v>
      </c>
      <c r="X28" s="13" t="str">
        <f t="shared" si="46"/>
        <v>N/A</v>
      </c>
      <c r="Y28" s="13" t="str">
        <f t="shared" si="47"/>
        <v>N/A</v>
      </c>
      <c r="Z28" s="14" t="str">
        <f t="shared" si="48"/>
        <v>N/A</v>
      </c>
      <c r="AA28" s="8"/>
      <c r="AB28" s="15" t="str">
        <f t="shared" si="49"/>
        <v>N/A</v>
      </c>
      <c r="AC28" s="16" t="str">
        <f t="shared" si="50"/>
        <v>N/A</v>
      </c>
      <c r="AD28" s="16" t="str">
        <f t="shared" si="51"/>
        <v>N/A</v>
      </c>
      <c r="AE28" s="17" t="str">
        <f t="shared" si="52"/>
        <v>N/A</v>
      </c>
      <c r="AF28" s="88"/>
      <c r="AG28" s="112" t="s">
        <v>118</v>
      </c>
      <c r="AH28" s="13">
        <f>ROUNDDOWN(AH12*$C$22,1)</f>
        <v>25.2</v>
      </c>
      <c r="AI28" s="13">
        <f>ROUNDDOWN(AI12*$C$22,1)</f>
        <v>42.1</v>
      </c>
      <c r="AJ28" s="114">
        <f>ROUNDDOWN(AJ12*$C$22,1)</f>
        <v>57.1</v>
      </c>
      <c r="AK28" s="108"/>
      <c r="AL28" s="115" t="s">
        <v>118</v>
      </c>
      <c r="AM28" s="16">
        <f>ROUNDDOWN(AM12*$C$22,1)</f>
        <v>29.7</v>
      </c>
      <c r="AN28" s="16">
        <f>ROUNDDOWN(AN12*$C$22,1)</f>
        <v>46.1</v>
      </c>
      <c r="AO28" s="17">
        <f>ROUNDDOWN(AO12*$C$22,1)</f>
        <v>61.6</v>
      </c>
      <c r="AP28" s="88"/>
    </row>
    <row r="29" spans="1:52" ht="5.0999999999999996" customHeight="1" thickBot="1" x14ac:dyDescent="0.3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W29" s="8"/>
      <c r="X29" s="8"/>
      <c r="Y29" s="8"/>
      <c r="Z29" s="8"/>
      <c r="AA29" s="8"/>
      <c r="AB29" s="8"/>
      <c r="AC29" s="8"/>
      <c r="AD29" s="8"/>
      <c r="AE29" s="8"/>
      <c r="AF29" s="89"/>
      <c r="AG29" s="108"/>
      <c r="AH29" s="108"/>
      <c r="AI29" s="108"/>
      <c r="AJ29" s="108"/>
      <c r="AK29" s="108"/>
      <c r="AL29" s="108"/>
      <c r="AM29" s="108"/>
      <c r="AN29" s="108"/>
      <c r="AO29" s="108"/>
      <c r="AP29" s="89"/>
    </row>
    <row r="30" spans="1:52" ht="15.75" thickBot="1" x14ac:dyDescent="0.3">
      <c r="B30" s="28" t="s">
        <v>119</v>
      </c>
      <c r="C30" s="29">
        <v>4.3600000000000003</v>
      </c>
      <c r="D30" s="28"/>
      <c r="E30" s="28"/>
      <c r="F30" s="28"/>
      <c r="G30" s="28"/>
      <c r="H30" s="29">
        <v>4.3600000000000003</v>
      </c>
      <c r="I30" s="28"/>
      <c r="J30" s="28"/>
      <c r="K30" s="28"/>
      <c r="L30" s="28"/>
      <c r="M30" s="29">
        <v>4.3600000000000003</v>
      </c>
      <c r="N30" s="28"/>
      <c r="O30" s="28"/>
      <c r="P30" s="28"/>
      <c r="Q30" s="28"/>
      <c r="R30" s="29">
        <v>4.3600000000000003</v>
      </c>
      <c r="T30" s="8"/>
      <c r="U30" s="8"/>
      <c r="W30" s="29">
        <v>4.3600000000000003</v>
      </c>
      <c r="X30" s="28"/>
      <c r="Y30" s="28"/>
      <c r="Z30" s="28"/>
      <c r="AA30" s="28"/>
      <c r="AB30" s="29">
        <v>4.3600000000000003</v>
      </c>
      <c r="AD30" s="8"/>
      <c r="AE30" s="8"/>
      <c r="AF30" s="89"/>
      <c r="AG30" s="108"/>
      <c r="AH30" s="108"/>
      <c r="AI30" s="108"/>
      <c r="AJ30" s="108"/>
      <c r="AK30" s="108"/>
      <c r="AN30" s="108"/>
      <c r="AO30" s="108"/>
      <c r="AP30" s="89"/>
    </row>
    <row r="31" spans="1:52" ht="14.45" customHeight="1" x14ac:dyDescent="0.25">
      <c r="A31" s="221" t="s">
        <v>122</v>
      </c>
      <c r="B31" s="26" t="s">
        <v>23</v>
      </c>
      <c r="C31" s="105">
        <f t="shared" ref="C31:C36" si="55">IFERROR(C7*C$30,"N/A")</f>
        <v>42.117600000000003</v>
      </c>
      <c r="D31" s="106">
        <f t="shared" ref="D31:D36" si="56">IFERROR(D7*C$30,"N/A")</f>
        <v>53.192</v>
      </c>
      <c r="E31" s="106">
        <f t="shared" ref="E31:E36" si="57">IFERROR(E7*C$30,"N/A")</f>
        <v>111.96480000000001</v>
      </c>
      <c r="F31" s="107">
        <f t="shared" ref="F31:F36" si="58">IFERROR(F7*C$30,"N/A")</f>
        <v>128.88159999999999</v>
      </c>
      <c r="G31" s="108"/>
      <c r="H31" s="109">
        <f t="shared" ref="H31:H36" si="59">IFERROR(H7*H$30,"N/A")</f>
        <v>64.3536</v>
      </c>
      <c r="I31" s="110">
        <f t="shared" ref="I31:I36" si="60">IFERROR(I7*H$30,"N/A")</f>
        <v>87.592400000000012</v>
      </c>
      <c r="J31" s="110">
        <f t="shared" ref="J31:J36" si="61">IFERROR(J7*H$30,"N/A")</f>
        <v>138.86600000000001</v>
      </c>
      <c r="K31" s="111">
        <f t="shared" ref="K31:K36" si="62">IFERROR(K7*H$30,"N/A")</f>
        <v>153.5592</v>
      </c>
      <c r="L31" s="8"/>
      <c r="M31" s="5">
        <f t="shared" ref="M31:M36" si="63">IFERROR(M7*M$30,"N/A")</f>
        <v>55.585640000000005</v>
      </c>
      <c r="N31" s="6">
        <f t="shared" ref="N31:N36" si="64">IFERROR(N7*M$30,"N/A")</f>
        <v>70.21344000000002</v>
      </c>
      <c r="O31" s="6">
        <f t="shared" ref="O31:O36" si="65">IFERROR(O7*M$30,"N/A")</f>
        <v>147.81272000000001</v>
      </c>
      <c r="P31" s="7">
        <f t="shared" ref="P31:P36" si="66">IFERROR(P7*M$30,"N/A")</f>
        <v>170.11412000000001</v>
      </c>
      <c r="Q31" s="8"/>
      <c r="R31" s="9">
        <f t="shared" ref="R31:R36" si="67">IFERROR(R7*R$30,"N/A")</f>
        <v>84.93716000000002</v>
      </c>
      <c r="S31" s="10">
        <f t="shared" ref="S31:S36" si="68">IFERROR(S7*R$30,"N/A")</f>
        <v>115.63156000000001</v>
      </c>
      <c r="T31" s="10">
        <f t="shared" ref="T31:T36" si="69">IFERROR(T7*R$30,"N/A")</f>
        <v>183.30312000000001</v>
      </c>
      <c r="U31" s="11">
        <f t="shared" ref="U31:U36" si="70">IFERROR(U7*R$30,"N/A")</f>
        <v>202.67896000000005</v>
      </c>
      <c r="W31" s="5" t="str">
        <f t="shared" ref="W31:W36" si="71">IFERROR(W7*W$30,"N/A")</f>
        <v>N/A</v>
      </c>
      <c r="X31" s="6" t="str">
        <f t="shared" ref="X31:X36" si="72">IFERROR(X7*W$30,"N/A")</f>
        <v>N/A</v>
      </c>
      <c r="Y31" s="6" t="str">
        <f t="shared" ref="Y31:Y36" si="73">IFERROR(Y7*W$30,"N/A")</f>
        <v>N/A</v>
      </c>
      <c r="Z31" s="7" t="str">
        <f t="shared" ref="Z31:Z36" si="74">IFERROR(Z7*W$30,"N/A")</f>
        <v>N/A</v>
      </c>
      <c r="AA31" s="8"/>
      <c r="AB31" s="9" t="str">
        <f t="shared" ref="AB31:AB36" si="75">IFERROR(AB7*AB$30,"N/A")</f>
        <v>N/A</v>
      </c>
      <c r="AC31" s="10" t="str">
        <f t="shared" ref="AC31:AC36" si="76">IFERROR(AC7*AB$30,"N/A")</f>
        <v>N/A</v>
      </c>
      <c r="AD31" s="10" t="str">
        <f t="shared" ref="AD31:AD36" si="77">IFERROR(AD7*AB$30,"N/A")</f>
        <v>N/A</v>
      </c>
      <c r="AE31" s="11" t="str">
        <f t="shared" ref="AE31:AE36" si="78">IFERROR(AE7*AB$30,"N/A")</f>
        <v>N/A</v>
      </c>
      <c r="AF31" s="88"/>
      <c r="AG31" s="5">
        <f t="shared" ref="AG31:AJ35" si="79">ROUNDDOWN(AG7*$C$30,1)</f>
        <v>100.7</v>
      </c>
      <c r="AH31" s="6">
        <f t="shared" si="79"/>
        <v>127.3</v>
      </c>
      <c r="AI31" s="6">
        <f t="shared" si="79"/>
        <v>268.5</v>
      </c>
      <c r="AJ31" s="107">
        <f t="shared" si="79"/>
        <v>309.10000000000002</v>
      </c>
      <c r="AK31" s="108"/>
      <c r="AL31" s="109">
        <f t="shared" ref="AL31:AO35" si="80">ROUNDDOWN(AL7*$C$30,1)</f>
        <v>154.30000000000001</v>
      </c>
      <c r="AM31" s="10">
        <f t="shared" si="80"/>
        <v>210.1</v>
      </c>
      <c r="AN31" s="10">
        <f t="shared" si="80"/>
        <v>333.1</v>
      </c>
      <c r="AO31" s="11">
        <f t="shared" si="80"/>
        <v>368.4</v>
      </c>
      <c r="AP31" s="88"/>
    </row>
    <row r="32" spans="1:52" ht="14.45" customHeight="1" x14ac:dyDescent="0.25">
      <c r="A32" s="222"/>
      <c r="B32" s="27" t="s">
        <v>24</v>
      </c>
      <c r="C32" s="112">
        <f t="shared" si="55"/>
        <v>44.210400000000007</v>
      </c>
      <c r="D32" s="113">
        <f t="shared" si="56"/>
        <v>68.451999999999998</v>
      </c>
      <c r="E32" s="113">
        <f t="shared" si="57"/>
        <v>134.85480000000001</v>
      </c>
      <c r="F32" s="114">
        <f t="shared" si="58"/>
        <v>155.95720000000003</v>
      </c>
      <c r="G32" s="108"/>
      <c r="H32" s="115">
        <f t="shared" si="59"/>
        <v>67.58</v>
      </c>
      <c r="I32" s="116">
        <f t="shared" si="60"/>
        <v>104.858</v>
      </c>
      <c r="J32" s="116">
        <f t="shared" si="61"/>
        <v>154.73640000000003</v>
      </c>
      <c r="K32" s="117">
        <f t="shared" si="62"/>
        <v>184.68960000000001</v>
      </c>
      <c r="L32" s="8"/>
      <c r="M32" s="12">
        <f t="shared" si="63"/>
        <v>58.367320000000007</v>
      </c>
      <c r="N32" s="13">
        <f t="shared" si="64"/>
        <v>90.356640000000013</v>
      </c>
      <c r="O32" s="13">
        <f t="shared" si="65"/>
        <v>178.02752000000001</v>
      </c>
      <c r="P32" s="14">
        <f t="shared" si="66"/>
        <v>205.84432000000004</v>
      </c>
      <c r="Q32" s="8"/>
      <c r="R32" s="15">
        <f t="shared" si="67"/>
        <v>89.205600000000032</v>
      </c>
      <c r="S32" s="16">
        <f t="shared" si="68"/>
        <v>138.41256000000001</v>
      </c>
      <c r="T32" s="16">
        <f t="shared" si="69"/>
        <v>204.26164000000006</v>
      </c>
      <c r="U32" s="17">
        <f t="shared" si="70"/>
        <v>243.78068000000005</v>
      </c>
      <c r="W32" s="12" t="str">
        <f t="shared" si="71"/>
        <v>N/A</v>
      </c>
      <c r="X32" s="13" t="str">
        <f t="shared" si="72"/>
        <v>N/A</v>
      </c>
      <c r="Y32" s="13" t="str">
        <f t="shared" si="73"/>
        <v>N/A</v>
      </c>
      <c r="Z32" s="14" t="str">
        <f t="shared" si="74"/>
        <v>N/A</v>
      </c>
      <c r="AA32" s="8"/>
      <c r="AB32" s="15" t="str">
        <f t="shared" si="75"/>
        <v>N/A</v>
      </c>
      <c r="AC32" s="16" t="str">
        <f t="shared" si="76"/>
        <v>N/A</v>
      </c>
      <c r="AD32" s="16" t="str">
        <f t="shared" si="77"/>
        <v>N/A</v>
      </c>
      <c r="AE32" s="17" t="str">
        <f t="shared" si="78"/>
        <v>N/A</v>
      </c>
      <c r="AF32" s="88"/>
      <c r="AG32" s="12">
        <f t="shared" si="79"/>
        <v>105.9</v>
      </c>
      <c r="AH32" s="13">
        <f t="shared" si="79"/>
        <v>163.9</v>
      </c>
      <c r="AI32" s="13">
        <f t="shared" si="79"/>
        <v>323.5</v>
      </c>
      <c r="AJ32" s="114">
        <f t="shared" si="79"/>
        <v>374</v>
      </c>
      <c r="AK32" s="108"/>
      <c r="AL32" s="115">
        <f t="shared" si="80"/>
        <v>162.1</v>
      </c>
      <c r="AM32" s="16">
        <f t="shared" si="80"/>
        <v>251.5</v>
      </c>
      <c r="AN32" s="16">
        <f t="shared" si="80"/>
        <v>371</v>
      </c>
      <c r="AO32" s="17">
        <f t="shared" si="80"/>
        <v>442.9</v>
      </c>
      <c r="AP32" s="88"/>
    </row>
    <row r="33" spans="1:42" ht="14.45" customHeight="1" x14ac:dyDescent="0.25">
      <c r="A33" s="222"/>
      <c r="B33" s="27" t="s">
        <v>25</v>
      </c>
      <c r="C33" s="112">
        <f t="shared" si="55"/>
        <v>48.788400000000003</v>
      </c>
      <c r="D33" s="113">
        <f t="shared" si="56"/>
        <v>80.572800000000001</v>
      </c>
      <c r="E33" s="113">
        <f t="shared" si="57"/>
        <v>164.59</v>
      </c>
      <c r="F33" s="114">
        <f t="shared" si="58"/>
        <v>192.494</v>
      </c>
      <c r="G33" s="108"/>
      <c r="H33" s="115">
        <f t="shared" si="59"/>
        <v>74.686800000000005</v>
      </c>
      <c r="I33" s="116">
        <f t="shared" si="60"/>
        <v>117.58920000000001</v>
      </c>
      <c r="J33" s="116">
        <f t="shared" si="61"/>
        <v>190.27040000000002</v>
      </c>
      <c r="K33" s="117">
        <f t="shared" si="62"/>
        <v>213.90160000000003</v>
      </c>
      <c r="L33" s="8"/>
      <c r="M33" s="12">
        <f t="shared" si="63"/>
        <v>64.410280000000014</v>
      </c>
      <c r="N33" s="13">
        <f t="shared" si="64"/>
        <v>106.37528000000002</v>
      </c>
      <c r="O33" s="13">
        <f t="shared" si="65"/>
        <v>217.25880000000001</v>
      </c>
      <c r="P33" s="14">
        <f t="shared" si="66"/>
        <v>254.09208000000001</v>
      </c>
      <c r="Q33" s="8"/>
      <c r="R33" s="15">
        <f t="shared" si="67"/>
        <v>98.605760000000004</v>
      </c>
      <c r="S33" s="16">
        <f t="shared" si="68"/>
        <v>155.19856000000001</v>
      </c>
      <c r="T33" s="16">
        <f t="shared" si="69"/>
        <v>251.16652000000002</v>
      </c>
      <c r="U33" s="17">
        <f t="shared" si="70"/>
        <v>282.34052000000003</v>
      </c>
      <c r="W33" s="12" t="str">
        <f t="shared" si="71"/>
        <v>N/A</v>
      </c>
      <c r="X33" s="13" t="str">
        <f t="shared" si="72"/>
        <v>N/A</v>
      </c>
      <c r="Y33" s="13" t="str">
        <f t="shared" si="73"/>
        <v>N/A</v>
      </c>
      <c r="Z33" s="14" t="str">
        <f t="shared" si="74"/>
        <v>N/A</v>
      </c>
      <c r="AA33" s="8"/>
      <c r="AB33" s="15" t="str">
        <f t="shared" si="75"/>
        <v>N/A</v>
      </c>
      <c r="AC33" s="16" t="str">
        <f t="shared" si="76"/>
        <v>N/A</v>
      </c>
      <c r="AD33" s="16" t="str">
        <f t="shared" si="77"/>
        <v>N/A</v>
      </c>
      <c r="AE33" s="17" t="str">
        <f t="shared" si="78"/>
        <v>N/A</v>
      </c>
      <c r="AF33" s="88"/>
      <c r="AG33" s="12">
        <f t="shared" si="79"/>
        <v>116.8</v>
      </c>
      <c r="AH33" s="13">
        <f t="shared" si="79"/>
        <v>193.1</v>
      </c>
      <c r="AI33" s="13">
        <f t="shared" si="79"/>
        <v>395</v>
      </c>
      <c r="AJ33" s="114">
        <f t="shared" si="79"/>
        <v>461.7</v>
      </c>
      <c r="AK33" s="108"/>
      <c r="AL33" s="115">
        <f t="shared" si="80"/>
        <v>179.1</v>
      </c>
      <c r="AM33" s="16">
        <f t="shared" si="80"/>
        <v>282</v>
      </c>
      <c r="AN33" s="16">
        <f t="shared" si="80"/>
        <v>456.4</v>
      </c>
      <c r="AO33" s="17">
        <f t="shared" si="80"/>
        <v>513.1</v>
      </c>
      <c r="AP33" s="88"/>
    </row>
    <row r="34" spans="1:42" ht="14.45" customHeight="1" x14ac:dyDescent="0.25">
      <c r="A34" s="222"/>
      <c r="B34" s="27" t="s">
        <v>26</v>
      </c>
      <c r="C34" s="112">
        <f t="shared" si="55"/>
        <v>53.802400000000006</v>
      </c>
      <c r="D34" s="113">
        <f t="shared" si="56"/>
        <v>106.42760000000001</v>
      </c>
      <c r="E34" s="113">
        <f t="shared" si="57"/>
        <v>203.26320000000001</v>
      </c>
      <c r="F34" s="114">
        <f t="shared" si="58"/>
        <v>241.19520000000003</v>
      </c>
      <c r="G34" s="108"/>
      <c r="H34" s="115">
        <f t="shared" si="59"/>
        <v>82.229600000000005</v>
      </c>
      <c r="I34" s="116">
        <f t="shared" si="60"/>
        <v>150.02760000000001</v>
      </c>
      <c r="J34" s="116">
        <f t="shared" si="61"/>
        <v>234.69880000000001</v>
      </c>
      <c r="K34" s="117">
        <f t="shared" si="62"/>
        <v>277.33960000000002</v>
      </c>
      <c r="L34" s="8"/>
      <c r="M34" s="12">
        <f t="shared" si="63"/>
        <v>71.028760000000005</v>
      </c>
      <c r="N34" s="13">
        <f t="shared" si="64"/>
        <v>140.47484000000003</v>
      </c>
      <c r="O34" s="13">
        <f t="shared" si="65"/>
        <v>268.28824000000003</v>
      </c>
      <c r="P34" s="14">
        <f t="shared" si="66"/>
        <v>318.35848000000004</v>
      </c>
      <c r="Q34" s="8"/>
      <c r="R34" s="15">
        <f t="shared" si="67"/>
        <v>108.53348000000001</v>
      </c>
      <c r="S34" s="16">
        <f t="shared" si="68"/>
        <v>198.02684000000002</v>
      </c>
      <c r="T34" s="16">
        <f t="shared" si="69"/>
        <v>309.82160000000005</v>
      </c>
      <c r="U34" s="17">
        <f t="shared" si="70"/>
        <v>366.07868000000008</v>
      </c>
      <c r="W34" s="12" t="str">
        <f t="shared" si="71"/>
        <v>N/A</v>
      </c>
      <c r="X34" s="13" t="str">
        <f t="shared" si="72"/>
        <v>N/A</v>
      </c>
      <c r="Y34" s="13" t="str">
        <f t="shared" si="73"/>
        <v>N/A</v>
      </c>
      <c r="Z34" s="14" t="str">
        <f t="shared" si="74"/>
        <v>N/A</v>
      </c>
      <c r="AA34" s="8"/>
      <c r="AB34" s="15" t="str">
        <f t="shared" si="75"/>
        <v>N/A</v>
      </c>
      <c r="AC34" s="16" t="str">
        <f t="shared" si="76"/>
        <v>N/A</v>
      </c>
      <c r="AD34" s="16" t="str">
        <f t="shared" si="77"/>
        <v>N/A</v>
      </c>
      <c r="AE34" s="17" t="str">
        <f t="shared" si="78"/>
        <v>N/A</v>
      </c>
      <c r="AF34" s="88"/>
      <c r="AG34" s="12">
        <f t="shared" si="79"/>
        <v>129</v>
      </c>
      <c r="AH34" s="13">
        <f t="shared" si="79"/>
        <v>255</v>
      </c>
      <c r="AI34" s="13">
        <f t="shared" si="79"/>
        <v>487.4</v>
      </c>
      <c r="AJ34" s="114">
        <f t="shared" si="79"/>
        <v>578.5</v>
      </c>
      <c r="AK34" s="108"/>
      <c r="AL34" s="115">
        <f t="shared" si="80"/>
        <v>197</v>
      </c>
      <c r="AM34" s="16">
        <f t="shared" si="80"/>
        <v>359.7</v>
      </c>
      <c r="AN34" s="16">
        <f t="shared" si="80"/>
        <v>562.79999999999995</v>
      </c>
      <c r="AO34" s="17">
        <f t="shared" si="80"/>
        <v>665.3</v>
      </c>
      <c r="AP34" s="88"/>
    </row>
    <row r="35" spans="1:42" ht="14.45" customHeight="1" x14ac:dyDescent="0.25">
      <c r="A35" s="222"/>
      <c r="B35" s="27" t="s">
        <v>27</v>
      </c>
      <c r="C35" s="112">
        <f t="shared" si="55"/>
        <v>53.889600000000002</v>
      </c>
      <c r="D35" s="113">
        <f t="shared" si="56"/>
        <v>125.5244</v>
      </c>
      <c r="E35" s="113">
        <f t="shared" si="57"/>
        <v>228.464</v>
      </c>
      <c r="F35" s="114">
        <f t="shared" si="58"/>
        <v>266.04720000000003</v>
      </c>
      <c r="G35" s="108"/>
      <c r="H35" s="115">
        <f t="shared" si="59"/>
        <v>82.273200000000017</v>
      </c>
      <c r="I35" s="116">
        <f t="shared" si="60"/>
        <v>175.79520000000002</v>
      </c>
      <c r="J35" s="116">
        <f t="shared" si="61"/>
        <v>259.07120000000003</v>
      </c>
      <c r="K35" s="117">
        <f t="shared" si="62"/>
        <v>300.18599999999998</v>
      </c>
      <c r="L35" s="8"/>
      <c r="M35" s="12">
        <f t="shared" si="63"/>
        <v>71.124680000000012</v>
      </c>
      <c r="N35" s="13">
        <f t="shared" si="64"/>
        <v>165.70180000000002</v>
      </c>
      <c r="O35" s="13">
        <f t="shared" si="65"/>
        <v>301.57248000000004</v>
      </c>
      <c r="P35" s="14">
        <f t="shared" si="66"/>
        <v>351.16312000000005</v>
      </c>
      <c r="Q35" s="8"/>
      <c r="R35" s="15">
        <f t="shared" si="67"/>
        <v>108.58144000000003</v>
      </c>
      <c r="S35" s="16">
        <f t="shared" si="68"/>
        <v>232.03048000000007</v>
      </c>
      <c r="T35" s="16">
        <f t="shared" si="69"/>
        <v>341.95480000000003</v>
      </c>
      <c r="U35" s="17">
        <f t="shared" si="70"/>
        <v>396.24552000000011</v>
      </c>
      <c r="W35" s="12" t="str">
        <f t="shared" si="71"/>
        <v>N/A</v>
      </c>
      <c r="X35" s="13" t="str">
        <f t="shared" si="72"/>
        <v>N/A</v>
      </c>
      <c r="Y35" s="13" t="str">
        <f t="shared" si="73"/>
        <v>N/A</v>
      </c>
      <c r="Z35" s="14" t="str">
        <f t="shared" si="74"/>
        <v>N/A</v>
      </c>
      <c r="AA35" s="8"/>
      <c r="AB35" s="15" t="str">
        <f t="shared" si="75"/>
        <v>N/A</v>
      </c>
      <c r="AC35" s="16" t="str">
        <f t="shared" si="76"/>
        <v>N/A</v>
      </c>
      <c r="AD35" s="16" t="str">
        <f t="shared" si="77"/>
        <v>N/A</v>
      </c>
      <c r="AE35" s="17" t="str">
        <f t="shared" si="78"/>
        <v>N/A</v>
      </c>
      <c r="AF35" s="88"/>
      <c r="AG35" s="112">
        <f t="shared" si="79"/>
        <v>129</v>
      </c>
      <c r="AH35" s="13">
        <f t="shared" si="79"/>
        <v>300.8</v>
      </c>
      <c r="AI35" s="13">
        <f t="shared" si="79"/>
        <v>548</v>
      </c>
      <c r="AJ35" s="114">
        <f t="shared" si="79"/>
        <v>638.29999999999995</v>
      </c>
      <c r="AK35" s="108"/>
      <c r="AL35" s="115">
        <f t="shared" si="80"/>
        <v>197</v>
      </c>
      <c r="AM35" s="16">
        <f t="shared" si="80"/>
        <v>421.6</v>
      </c>
      <c r="AN35" s="16">
        <f t="shared" si="80"/>
        <v>621.70000000000005</v>
      </c>
      <c r="AO35" s="17">
        <f t="shared" si="80"/>
        <v>720.2</v>
      </c>
      <c r="AP35" s="88"/>
    </row>
    <row r="36" spans="1:42" ht="14.45" customHeight="1" thickBot="1" x14ac:dyDescent="0.3">
      <c r="A36" s="223"/>
      <c r="B36" s="27" t="s">
        <v>29</v>
      </c>
      <c r="C36" s="112" t="str">
        <f t="shared" si="55"/>
        <v>N/A</v>
      </c>
      <c r="D36" s="113">
        <f t="shared" si="56"/>
        <v>19.421184</v>
      </c>
      <c r="E36" s="113">
        <f t="shared" si="57"/>
        <v>32.307600000000001</v>
      </c>
      <c r="F36" s="114">
        <f t="shared" si="58"/>
        <v>43.6</v>
      </c>
      <c r="G36" s="108"/>
      <c r="H36" s="115" t="str">
        <f t="shared" si="59"/>
        <v>N/A</v>
      </c>
      <c r="I36" s="116">
        <f t="shared" si="60"/>
        <v>22.715600000000002</v>
      </c>
      <c r="J36" s="116">
        <f t="shared" si="61"/>
        <v>35.316000000000003</v>
      </c>
      <c r="K36" s="117">
        <f t="shared" si="62"/>
        <v>47.175200000000004</v>
      </c>
      <c r="L36" s="8"/>
      <c r="M36" s="12" t="str">
        <f t="shared" si="63"/>
        <v>N/A</v>
      </c>
      <c r="N36" s="13">
        <f t="shared" si="64"/>
        <v>22.109560000000005</v>
      </c>
      <c r="O36" s="13">
        <f t="shared" si="65"/>
        <v>42.636440000000007</v>
      </c>
      <c r="P36" s="14">
        <f t="shared" si="66"/>
        <v>57.552000000000007</v>
      </c>
      <c r="Q36" s="8"/>
      <c r="R36" s="15" t="str">
        <f t="shared" si="67"/>
        <v>N/A</v>
      </c>
      <c r="S36" s="16">
        <f t="shared" si="68"/>
        <v>29.975000000000005</v>
      </c>
      <c r="T36" s="16">
        <f t="shared" si="69"/>
        <v>46.617120000000014</v>
      </c>
      <c r="U36" s="17">
        <f t="shared" si="70"/>
        <v>62.252080000000014</v>
      </c>
      <c r="W36" s="12" t="str">
        <f t="shared" si="71"/>
        <v>N/A</v>
      </c>
      <c r="X36" s="13" t="str">
        <f t="shared" si="72"/>
        <v>N/A</v>
      </c>
      <c r="Y36" s="13" t="str">
        <f t="shared" si="73"/>
        <v>N/A</v>
      </c>
      <c r="Z36" s="14" t="str">
        <f t="shared" si="74"/>
        <v>N/A</v>
      </c>
      <c r="AA36" s="8"/>
      <c r="AB36" s="15" t="str">
        <f t="shared" si="75"/>
        <v>N/A</v>
      </c>
      <c r="AC36" s="16" t="str">
        <f t="shared" si="76"/>
        <v>N/A</v>
      </c>
      <c r="AD36" s="16" t="str">
        <f t="shared" si="77"/>
        <v>N/A</v>
      </c>
      <c r="AE36" s="17" t="str">
        <f t="shared" si="78"/>
        <v>N/A</v>
      </c>
      <c r="AF36" s="88"/>
      <c r="AG36" s="112" t="s">
        <v>118</v>
      </c>
      <c r="AH36" s="13">
        <f>ROUNDDOWN(AH12*$C$30,1)</f>
        <v>46.2</v>
      </c>
      <c r="AI36" s="13">
        <f>ROUNDDOWN(AI12*$C$30,1)</f>
        <v>77.099999999999994</v>
      </c>
      <c r="AJ36" s="114">
        <f>ROUNDDOWN(AJ12*$C$30,1)</f>
        <v>104.6</v>
      </c>
      <c r="AK36" s="108"/>
      <c r="AL36" s="115" t="s">
        <v>118</v>
      </c>
      <c r="AM36" s="16">
        <f>ROUNDDOWN(AM12*$C$30,1)</f>
        <v>54.5</v>
      </c>
      <c r="AN36" s="16">
        <f>ROUNDDOWN(AN12*$C$30,1)</f>
        <v>84.5</v>
      </c>
      <c r="AO36" s="17">
        <f>ROUNDDOWN(AO12*$C$30,1)</f>
        <v>112.9</v>
      </c>
      <c r="AP36" s="88"/>
    </row>
    <row r="37" spans="1:42" ht="5.0999999999999996" customHeight="1" thickBot="1" x14ac:dyDescent="0.3"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W37" s="8"/>
      <c r="X37" s="8"/>
      <c r="Y37" s="8"/>
      <c r="Z37" s="8"/>
      <c r="AA37" s="8"/>
      <c r="AB37" s="8"/>
      <c r="AC37" s="8"/>
      <c r="AD37" s="8"/>
      <c r="AE37" s="8"/>
      <c r="AF37" s="89"/>
      <c r="AG37" s="108"/>
      <c r="AH37" s="108"/>
      <c r="AI37" s="108"/>
      <c r="AJ37" s="108"/>
      <c r="AK37" s="108"/>
      <c r="AL37" s="108"/>
      <c r="AM37" s="108"/>
      <c r="AN37" s="108"/>
      <c r="AO37" s="108"/>
      <c r="AP37" s="89"/>
    </row>
    <row r="38" spans="1:42" ht="15.75" thickBot="1" x14ac:dyDescent="0.3">
      <c r="B38" s="28" t="s">
        <v>119</v>
      </c>
      <c r="C38" s="29">
        <v>6.54</v>
      </c>
      <c r="D38" s="28"/>
      <c r="E38" s="28"/>
      <c r="F38" s="28"/>
      <c r="G38" s="28"/>
      <c r="H38" s="29">
        <v>6.54</v>
      </c>
      <c r="I38" s="28"/>
      <c r="J38" s="28"/>
      <c r="K38" s="28"/>
      <c r="L38" s="28"/>
      <c r="M38" s="29">
        <v>6.54</v>
      </c>
      <c r="N38" s="28"/>
      <c r="O38" s="28"/>
      <c r="P38" s="28"/>
      <c r="Q38" s="28"/>
      <c r="R38" s="29">
        <v>6.54</v>
      </c>
      <c r="T38" s="8"/>
      <c r="U38" s="8"/>
      <c r="W38" s="29">
        <v>6.54</v>
      </c>
      <c r="X38" s="28"/>
      <c r="Y38" s="28"/>
      <c r="Z38" s="28"/>
      <c r="AA38" s="28"/>
      <c r="AB38" s="29">
        <v>6.54</v>
      </c>
      <c r="AD38" s="8"/>
      <c r="AE38" s="8"/>
      <c r="AF38" s="89"/>
      <c r="AG38" s="108"/>
      <c r="AH38" s="108"/>
      <c r="AI38" s="108"/>
      <c r="AJ38" s="108"/>
      <c r="AK38" s="108"/>
      <c r="AN38" s="108"/>
      <c r="AO38" s="108"/>
      <c r="AP38" s="89"/>
    </row>
    <row r="39" spans="1:42" ht="14.45" customHeight="1" x14ac:dyDescent="0.25">
      <c r="A39" s="221" t="s">
        <v>123</v>
      </c>
      <c r="B39" s="26" t="s">
        <v>23</v>
      </c>
      <c r="C39" s="105">
        <f>IFERROR(C7*C$38,"N/A")</f>
        <v>63.176400000000001</v>
      </c>
      <c r="D39" s="106">
        <f>IFERROR(D7*C$38,"N/A")</f>
        <v>79.787999999999997</v>
      </c>
      <c r="E39" s="106">
        <f>IFERROR(E7*C$38,"N/A")</f>
        <v>167.94720000000001</v>
      </c>
      <c r="F39" s="107" t="s">
        <v>118</v>
      </c>
      <c r="G39" s="108"/>
      <c r="H39" s="109">
        <f>IFERROR(H7*H$38,"N/A")</f>
        <v>96.5304</v>
      </c>
      <c r="I39" s="110">
        <f>IFERROR(I7*H$38,"N/A")</f>
        <v>131.3886</v>
      </c>
      <c r="J39" s="110">
        <f>IFERROR(J7*H$38,"N/A")</f>
        <v>208.29900000000001</v>
      </c>
      <c r="K39" s="111" t="s">
        <v>118</v>
      </c>
      <c r="L39" s="8"/>
      <c r="M39" s="5">
        <f>IFERROR(M7*M$38,"N/A")</f>
        <v>83.378460000000004</v>
      </c>
      <c r="N39" s="6">
        <f>IFERROR(N7*M$38,"N/A")</f>
        <v>105.32016000000002</v>
      </c>
      <c r="O39" s="6">
        <f>IFERROR(O7*M$38,"N/A")</f>
        <v>221.71908000000002</v>
      </c>
      <c r="P39" s="7" t="s">
        <v>118</v>
      </c>
      <c r="Q39" s="8"/>
      <c r="R39" s="9">
        <f>IFERROR(R7*R$38,"N/A")</f>
        <v>127.40574000000001</v>
      </c>
      <c r="S39" s="10">
        <f>IFERROR(S7*R$38,"N/A")</f>
        <v>173.44734</v>
      </c>
      <c r="T39" s="10">
        <f>IFERROR(T7*R$38,"N/A")</f>
        <v>274.95468</v>
      </c>
      <c r="U39" s="11" t="s">
        <v>118</v>
      </c>
      <c r="W39" s="5" t="str">
        <f>IFERROR(W7*W$38,"N/A")</f>
        <v>N/A</v>
      </c>
      <c r="X39" s="6" t="str">
        <f>IFERROR(X7*W$38,"N/A")</f>
        <v>N/A</v>
      </c>
      <c r="Y39" s="6" t="str">
        <f>IFERROR(Y7*W$38,"N/A")</f>
        <v>N/A</v>
      </c>
      <c r="Z39" s="7" t="s">
        <v>118</v>
      </c>
      <c r="AA39" s="8"/>
      <c r="AB39" s="9" t="str">
        <f>IFERROR(AB7*AB$38,"N/A")</f>
        <v>N/A</v>
      </c>
      <c r="AC39" s="10" t="str">
        <f>IFERROR(AC7*AB$38,"N/A")</f>
        <v>N/A</v>
      </c>
      <c r="AD39" s="10" t="str">
        <f>IFERROR(AD7*AB$38,"N/A")</f>
        <v>N/A</v>
      </c>
      <c r="AE39" s="11" t="s">
        <v>118</v>
      </c>
      <c r="AF39" s="88"/>
      <c r="AG39" s="5">
        <f>ROUNDDOWN(C39/(1-$AJ$2)*1.2,1)</f>
        <v>151.6</v>
      </c>
      <c r="AH39" s="6">
        <f>ROUNDDOWN(D39/(1-$AJ$2)*1.2,1)</f>
        <v>191.4</v>
      </c>
      <c r="AI39" s="6">
        <f>ROUNDDOWN(E39/(1-$AJ$2)*1.2,1)</f>
        <v>403</v>
      </c>
      <c r="AJ39" s="107" t="s">
        <v>118</v>
      </c>
      <c r="AK39" s="108"/>
      <c r="AL39" s="109">
        <f>ROUNDDOWN(H39/(1-$AJ$2)*1.2,1)</f>
        <v>231.6</v>
      </c>
      <c r="AM39" s="10">
        <f t="shared" ref="AM39:AN41" si="81">ROUNDDOWN(I39/(1-$AJ$2)*1.2,1)</f>
        <v>315.3</v>
      </c>
      <c r="AN39" s="10">
        <f t="shared" si="81"/>
        <v>499.9</v>
      </c>
      <c r="AO39" s="111" t="s">
        <v>118</v>
      </c>
      <c r="AP39" s="88"/>
    </row>
    <row r="40" spans="1:42" ht="14.45" customHeight="1" x14ac:dyDescent="0.25">
      <c r="A40" s="222"/>
      <c r="B40" s="27" t="s">
        <v>24</v>
      </c>
      <c r="C40" s="112">
        <f>IFERROR(C8*C$38,"N/A")</f>
        <v>66.315600000000003</v>
      </c>
      <c r="D40" s="113">
        <f>IFERROR(D8*C$38,"N/A")</f>
        <v>102.678</v>
      </c>
      <c r="E40" s="113">
        <f>IFERROR(E8*C$38,"N/A")</f>
        <v>202.28219999999999</v>
      </c>
      <c r="F40" s="114" t="s">
        <v>118</v>
      </c>
      <c r="G40" s="108"/>
      <c r="H40" s="115">
        <f>IFERROR(H8*H$38,"N/A")</f>
        <v>101.37</v>
      </c>
      <c r="I40" s="116">
        <f>IFERROR(I8*H$38,"N/A")</f>
        <v>157.28700000000001</v>
      </c>
      <c r="J40" s="116">
        <f>IFERROR(J8*H$38,"N/A")</f>
        <v>232.1046</v>
      </c>
      <c r="K40" s="117" t="s">
        <v>118</v>
      </c>
      <c r="L40" s="8"/>
      <c r="M40" s="12">
        <f>IFERROR(M8*M$38,"N/A")</f>
        <v>87.55098000000001</v>
      </c>
      <c r="N40" s="13">
        <f>IFERROR(N8*M$38,"N/A")</f>
        <v>135.53496000000001</v>
      </c>
      <c r="O40" s="13">
        <f>IFERROR(O8*M$38,"N/A")</f>
        <v>267.04128000000003</v>
      </c>
      <c r="P40" s="14" t="s">
        <v>118</v>
      </c>
      <c r="Q40" s="8"/>
      <c r="R40" s="15">
        <f>IFERROR(R8*R$38,"N/A")</f>
        <v>133.80840000000003</v>
      </c>
      <c r="S40" s="16">
        <f>IFERROR(S8*R$38,"N/A")</f>
        <v>207.61884000000001</v>
      </c>
      <c r="T40" s="16">
        <f>IFERROR(T8*R$38,"N/A")</f>
        <v>306.39246000000009</v>
      </c>
      <c r="U40" s="17" t="s">
        <v>118</v>
      </c>
      <c r="W40" s="12" t="str">
        <f>IFERROR(W8*W$38,"N/A")</f>
        <v>N/A</v>
      </c>
      <c r="X40" s="13" t="str">
        <f>IFERROR(X8*W$38,"N/A")</f>
        <v>N/A</v>
      </c>
      <c r="Y40" s="13" t="str">
        <f>IFERROR(Y8*W$38,"N/A")</f>
        <v>N/A</v>
      </c>
      <c r="Z40" s="14" t="s">
        <v>118</v>
      </c>
      <c r="AA40" s="8"/>
      <c r="AB40" s="15" t="str">
        <f>IFERROR(AB8*AB$38,"N/A")</f>
        <v>N/A</v>
      </c>
      <c r="AC40" s="16" t="str">
        <f>IFERROR(AC8*AB$38,"N/A")</f>
        <v>N/A</v>
      </c>
      <c r="AD40" s="16" t="str">
        <f>IFERROR(AD8*AB$38,"N/A")</f>
        <v>N/A</v>
      </c>
      <c r="AE40" s="17" t="s">
        <v>118</v>
      </c>
      <c r="AF40" s="88"/>
      <c r="AG40" s="12">
        <f t="shared" ref="AG40:AI41" si="82">ROUNDDOWN(C40/(1-$AJ$2)*1.2,1)</f>
        <v>159.1</v>
      </c>
      <c r="AH40" s="13">
        <f t="shared" si="82"/>
        <v>246.4</v>
      </c>
      <c r="AI40" s="13">
        <f t="shared" si="82"/>
        <v>485.4</v>
      </c>
      <c r="AJ40" s="114" t="s">
        <v>118</v>
      </c>
      <c r="AK40" s="108"/>
      <c r="AL40" s="115">
        <f t="shared" ref="AL40:AL41" si="83">ROUNDDOWN(H40/(1-$AJ$2)*1.2,1)</f>
        <v>243.2</v>
      </c>
      <c r="AM40" s="16">
        <f t="shared" si="81"/>
        <v>377.4</v>
      </c>
      <c r="AN40" s="16">
        <f t="shared" si="81"/>
        <v>557</v>
      </c>
      <c r="AO40" s="117" t="s">
        <v>118</v>
      </c>
      <c r="AP40" s="88"/>
    </row>
    <row r="41" spans="1:42" ht="14.45" customHeight="1" x14ac:dyDescent="0.25">
      <c r="A41" s="222"/>
      <c r="B41" s="27" t="s">
        <v>25</v>
      </c>
      <c r="C41" s="112">
        <f>IFERROR(C9*C$38,"N/A")</f>
        <v>73.182599999999994</v>
      </c>
      <c r="D41" s="113">
        <f>IFERROR(D9*C$38,"N/A")</f>
        <v>120.8592</v>
      </c>
      <c r="E41" s="113">
        <f>IFERROR(E9*C$38,"N/A")</f>
        <v>246.88499999999999</v>
      </c>
      <c r="F41" s="114" t="s">
        <v>118</v>
      </c>
      <c r="G41" s="108"/>
      <c r="H41" s="115">
        <f>IFERROR(H9*H$38,"N/A")</f>
        <v>112.03019999999999</v>
      </c>
      <c r="I41" s="116">
        <f>IFERROR(I9*H$38,"N/A")</f>
        <v>176.38379999999998</v>
      </c>
      <c r="J41" s="116">
        <f>IFERROR(J9*H$38,"N/A")</f>
        <v>285.40559999999999</v>
      </c>
      <c r="K41" s="117" t="s">
        <v>118</v>
      </c>
      <c r="L41" s="8"/>
      <c r="M41" s="12">
        <f>IFERROR(M9*M$38,"N/A")</f>
        <v>96.615420000000015</v>
      </c>
      <c r="N41" s="13">
        <f>IFERROR(N9*M$38,"N/A")</f>
        <v>159.56292000000002</v>
      </c>
      <c r="O41" s="13">
        <f>IFERROR(O9*M$38,"N/A")</f>
        <v>325.88819999999998</v>
      </c>
      <c r="P41" s="14" t="s">
        <v>118</v>
      </c>
      <c r="Q41" s="8"/>
      <c r="R41" s="15">
        <f>IFERROR(R9*R$38,"N/A")</f>
        <v>147.90863999999999</v>
      </c>
      <c r="S41" s="16">
        <f>IFERROR(S9*R$38,"N/A")</f>
        <v>232.79784000000004</v>
      </c>
      <c r="T41" s="16">
        <f>IFERROR(T9*R$38,"N/A")</f>
        <v>376.74977999999999</v>
      </c>
      <c r="U41" s="17" t="s">
        <v>118</v>
      </c>
      <c r="W41" s="12" t="str">
        <f>IFERROR(W9*W$38,"N/A")</f>
        <v>N/A</v>
      </c>
      <c r="X41" s="13" t="str">
        <f>IFERROR(X9*W$38,"N/A")</f>
        <v>N/A</v>
      </c>
      <c r="Y41" s="13" t="str">
        <f>IFERROR(Y9*W$38,"N/A")</f>
        <v>N/A</v>
      </c>
      <c r="Z41" s="14" t="s">
        <v>118</v>
      </c>
      <c r="AA41" s="8"/>
      <c r="AB41" s="15" t="str">
        <f>IFERROR(AB9*AB$38,"N/A")</f>
        <v>N/A</v>
      </c>
      <c r="AC41" s="16" t="str">
        <f>IFERROR(AC9*AB$38,"N/A")</f>
        <v>N/A</v>
      </c>
      <c r="AD41" s="16" t="str">
        <f>IFERROR(AD9*AB$38,"N/A")</f>
        <v>N/A</v>
      </c>
      <c r="AE41" s="17" t="s">
        <v>118</v>
      </c>
      <c r="AF41" s="88"/>
      <c r="AG41" s="12">
        <f t="shared" si="82"/>
        <v>175.6</v>
      </c>
      <c r="AH41" s="13">
        <f t="shared" si="82"/>
        <v>290</v>
      </c>
      <c r="AI41" s="13">
        <f t="shared" si="82"/>
        <v>592.5</v>
      </c>
      <c r="AJ41" s="114" t="s">
        <v>118</v>
      </c>
      <c r="AK41" s="108"/>
      <c r="AL41" s="115">
        <f t="shared" si="83"/>
        <v>268.8</v>
      </c>
      <c r="AM41" s="16">
        <f t="shared" si="81"/>
        <v>423.3</v>
      </c>
      <c r="AN41" s="16">
        <f t="shared" si="81"/>
        <v>684.9</v>
      </c>
      <c r="AO41" s="117" t="s">
        <v>118</v>
      </c>
      <c r="AP41" s="88"/>
    </row>
    <row r="42" spans="1:42" ht="14.45" customHeight="1" x14ac:dyDescent="0.25">
      <c r="A42" s="222"/>
      <c r="B42" s="27" t="s">
        <v>26</v>
      </c>
      <c r="C42" s="112" t="s">
        <v>118</v>
      </c>
      <c r="D42" s="113" t="s">
        <v>118</v>
      </c>
      <c r="E42" s="113" t="s">
        <v>118</v>
      </c>
      <c r="F42" s="114" t="s">
        <v>118</v>
      </c>
      <c r="G42" s="108"/>
      <c r="H42" s="115" t="s">
        <v>118</v>
      </c>
      <c r="I42" s="116" t="s">
        <v>118</v>
      </c>
      <c r="J42" s="116" t="s">
        <v>118</v>
      </c>
      <c r="K42" s="117" t="s">
        <v>118</v>
      </c>
      <c r="L42" s="8"/>
      <c r="M42" s="12" t="s">
        <v>118</v>
      </c>
      <c r="N42" s="13" t="s">
        <v>118</v>
      </c>
      <c r="O42" s="13" t="s">
        <v>118</v>
      </c>
      <c r="P42" s="14" t="s">
        <v>118</v>
      </c>
      <c r="Q42" s="8"/>
      <c r="R42" s="15" t="s">
        <v>118</v>
      </c>
      <c r="S42" s="16" t="s">
        <v>118</v>
      </c>
      <c r="T42" s="16" t="s">
        <v>118</v>
      </c>
      <c r="U42" s="17" t="s">
        <v>118</v>
      </c>
      <c r="W42" s="12" t="s">
        <v>118</v>
      </c>
      <c r="X42" s="13" t="s">
        <v>118</v>
      </c>
      <c r="Y42" s="13" t="s">
        <v>118</v>
      </c>
      <c r="Z42" s="14" t="s">
        <v>118</v>
      </c>
      <c r="AA42" s="8"/>
      <c r="AB42" s="15" t="s">
        <v>118</v>
      </c>
      <c r="AC42" s="16" t="s">
        <v>118</v>
      </c>
      <c r="AD42" s="16" t="s">
        <v>118</v>
      </c>
      <c r="AE42" s="17" t="s">
        <v>118</v>
      </c>
      <c r="AF42" s="88"/>
      <c r="AG42" s="12" t="s">
        <v>118</v>
      </c>
      <c r="AH42" s="13" t="s">
        <v>118</v>
      </c>
      <c r="AI42" s="13" t="s">
        <v>118</v>
      </c>
      <c r="AJ42" s="114" t="s">
        <v>118</v>
      </c>
      <c r="AK42" s="108"/>
      <c r="AL42" s="115" t="s">
        <v>118</v>
      </c>
      <c r="AM42" s="116" t="s">
        <v>118</v>
      </c>
      <c r="AN42" s="116" t="s">
        <v>118</v>
      </c>
      <c r="AO42" s="117" t="s">
        <v>118</v>
      </c>
      <c r="AP42" s="88"/>
    </row>
    <row r="43" spans="1:42" ht="14.45" customHeight="1" x14ac:dyDescent="0.25">
      <c r="A43" s="222"/>
      <c r="B43" s="27" t="s">
        <v>27</v>
      </c>
      <c r="C43" s="112" t="s">
        <v>118</v>
      </c>
      <c r="D43" s="113" t="s">
        <v>118</v>
      </c>
      <c r="E43" s="113" t="s">
        <v>118</v>
      </c>
      <c r="F43" s="114" t="s">
        <v>118</v>
      </c>
      <c r="G43" s="108"/>
      <c r="H43" s="115" t="s">
        <v>118</v>
      </c>
      <c r="I43" s="116" t="s">
        <v>118</v>
      </c>
      <c r="J43" s="116" t="s">
        <v>118</v>
      </c>
      <c r="K43" s="117" t="s">
        <v>118</v>
      </c>
      <c r="L43" s="8"/>
      <c r="M43" s="12" t="s">
        <v>118</v>
      </c>
      <c r="N43" s="13" t="s">
        <v>118</v>
      </c>
      <c r="O43" s="13" t="s">
        <v>118</v>
      </c>
      <c r="P43" s="14" t="s">
        <v>118</v>
      </c>
      <c r="Q43" s="8"/>
      <c r="R43" s="15" t="s">
        <v>118</v>
      </c>
      <c r="S43" s="16" t="s">
        <v>118</v>
      </c>
      <c r="T43" s="16" t="s">
        <v>118</v>
      </c>
      <c r="U43" s="17" t="s">
        <v>118</v>
      </c>
      <c r="W43" s="12" t="s">
        <v>118</v>
      </c>
      <c r="X43" s="13" t="s">
        <v>118</v>
      </c>
      <c r="Y43" s="13" t="s">
        <v>118</v>
      </c>
      <c r="Z43" s="14" t="s">
        <v>118</v>
      </c>
      <c r="AA43" s="8"/>
      <c r="AB43" s="15" t="s">
        <v>118</v>
      </c>
      <c r="AC43" s="16" t="s">
        <v>118</v>
      </c>
      <c r="AD43" s="16" t="s">
        <v>118</v>
      </c>
      <c r="AE43" s="17" t="s">
        <v>118</v>
      </c>
      <c r="AF43" s="88"/>
      <c r="AG43" s="112" t="s">
        <v>118</v>
      </c>
      <c r="AH43" s="13" t="s">
        <v>118</v>
      </c>
      <c r="AI43" s="13" t="s">
        <v>118</v>
      </c>
      <c r="AJ43" s="114" t="s">
        <v>118</v>
      </c>
      <c r="AK43" s="108"/>
      <c r="AL43" s="115" t="s">
        <v>118</v>
      </c>
      <c r="AM43" s="116" t="s">
        <v>118</v>
      </c>
      <c r="AN43" s="116" t="s">
        <v>118</v>
      </c>
      <c r="AO43" s="117" t="s">
        <v>118</v>
      </c>
      <c r="AP43" s="88"/>
    </row>
    <row r="44" spans="1:42" ht="14.45" customHeight="1" thickBot="1" x14ac:dyDescent="0.3">
      <c r="A44" s="223"/>
      <c r="B44" s="27" t="s">
        <v>29</v>
      </c>
      <c r="C44" s="112" t="str">
        <f>IFERROR(C12*C$38,"N/A")</f>
        <v>N/A</v>
      </c>
      <c r="D44" s="113" t="s">
        <v>118</v>
      </c>
      <c r="E44" s="113" t="s">
        <v>118</v>
      </c>
      <c r="F44" s="114" t="s">
        <v>118</v>
      </c>
      <c r="G44" s="108"/>
      <c r="H44" s="115" t="s">
        <v>118</v>
      </c>
      <c r="I44" s="116" t="s">
        <v>118</v>
      </c>
      <c r="J44" s="116" t="s">
        <v>118</v>
      </c>
      <c r="K44" s="117" t="s">
        <v>118</v>
      </c>
      <c r="L44" s="8"/>
      <c r="M44" s="12" t="str">
        <f>IFERROR(M12*M$38,"N/A")</f>
        <v>N/A</v>
      </c>
      <c r="N44" s="13" t="s">
        <v>118</v>
      </c>
      <c r="O44" s="13" t="s">
        <v>118</v>
      </c>
      <c r="P44" s="14" t="s">
        <v>118</v>
      </c>
      <c r="Q44" s="8"/>
      <c r="R44" s="15" t="s">
        <v>118</v>
      </c>
      <c r="S44" s="16" t="s">
        <v>118</v>
      </c>
      <c r="T44" s="16" t="s">
        <v>118</v>
      </c>
      <c r="U44" s="17" t="s">
        <v>118</v>
      </c>
      <c r="W44" s="12" t="str">
        <f>IFERROR(W12*W$38,"N/A")</f>
        <v>N/A</v>
      </c>
      <c r="X44" s="13" t="s">
        <v>118</v>
      </c>
      <c r="Y44" s="13" t="s">
        <v>118</v>
      </c>
      <c r="Z44" s="14" t="s">
        <v>118</v>
      </c>
      <c r="AA44" s="8"/>
      <c r="AB44" s="15" t="s">
        <v>118</v>
      </c>
      <c r="AC44" s="16" t="s">
        <v>118</v>
      </c>
      <c r="AD44" s="16" t="s">
        <v>118</v>
      </c>
      <c r="AE44" s="17" t="s">
        <v>118</v>
      </c>
      <c r="AF44" s="88"/>
      <c r="AG44" s="112" t="str">
        <f>IFERROR(AG12*AG$38,"N/A")</f>
        <v>N/A</v>
      </c>
      <c r="AH44" s="13" t="s">
        <v>118</v>
      </c>
      <c r="AI44" s="13" t="s">
        <v>118</v>
      </c>
      <c r="AJ44" s="114" t="s">
        <v>118</v>
      </c>
      <c r="AK44" s="108"/>
      <c r="AL44" s="115" t="s">
        <v>118</v>
      </c>
      <c r="AM44" s="116" t="s">
        <v>118</v>
      </c>
      <c r="AN44" s="116" t="s">
        <v>118</v>
      </c>
      <c r="AO44" s="117" t="s">
        <v>118</v>
      </c>
      <c r="AP44" s="88"/>
    </row>
    <row r="45" spans="1:42" ht="5.0999999999999996" customHeight="1" thickBot="1" x14ac:dyDescent="0.3"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W45" s="8"/>
      <c r="X45" s="8"/>
      <c r="Y45" s="8"/>
      <c r="Z45" s="8"/>
      <c r="AA45" s="8"/>
      <c r="AB45" s="8"/>
      <c r="AC45" s="8"/>
      <c r="AD45" s="8"/>
      <c r="AE45" s="8"/>
      <c r="AF45" s="89"/>
      <c r="AG45" s="108"/>
      <c r="AH45" s="108"/>
      <c r="AI45" s="108"/>
      <c r="AJ45" s="108"/>
      <c r="AK45" s="108"/>
      <c r="AL45" s="108"/>
      <c r="AM45" s="108"/>
      <c r="AN45" s="108"/>
      <c r="AO45" s="108"/>
      <c r="AP45" s="89"/>
    </row>
    <row r="46" spans="1:42" ht="15.75" thickBot="1" x14ac:dyDescent="0.3">
      <c r="B46" s="28" t="s">
        <v>119</v>
      </c>
      <c r="C46" s="30">
        <v>8.1750000000000007</v>
      </c>
      <c r="D46" s="28"/>
      <c r="E46" s="28"/>
      <c r="F46" s="28"/>
      <c r="G46" s="28"/>
      <c r="H46" s="30">
        <v>8.1750000000000007</v>
      </c>
      <c r="I46" s="28"/>
      <c r="J46" s="28"/>
      <c r="K46" s="28"/>
      <c r="L46" s="28"/>
      <c r="M46" s="30">
        <v>8.1750000000000007</v>
      </c>
      <c r="N46" s="28"/>
      <c r="O46" s="28"/>
      <c r="P46" s="28"/>
      <c r="Q46" s="28"/>
      <c r="R46" s="30">
        <v>8.1750000000000007</v>
      </c>
      <c r="T46" s="8"/>
      <c r="U46" s="8"/>
      <c r="W46" s="30">
        <v>8.1750000000000007</v>
      </c>
      <c r="X46" s="28"/>
      <c r="Y46" s="28"/>
      <c r="Z46" s="28"/>
      <c r="AA46" s="28"/>
      <c r="AB46" s="30">
        <v>8.1750000000000007</v>
      </c>
      <c r="AD46" s="8"/>
      <c r="AE46" s="8"/>
      <c r="AF46" s="89"/>
      <c r="AG46" s="108"/>
      <c r="AH46" s="108"/>
      <c r="AI46" s="108"/>
      <c r="AJ46" s="108"/>
      <c r="AK46" s="108"/>
      <c r="AN46" s="108"/>
      <c r="AO46" s="108"/>
      <c r="AP46" s="89"/>
    </row>
    <row r="47" spans="1:42" ht="14.45" customHeight="1" x14ac:dyDescent="0.25">
      <c r="A47" s="221" t="s">
        <v>124</v>
      </c>
      <c r="B47" s="26" t="s">
        <v>23</v>
      </c>
      <c r="C47" s="105">
        <f>IFERROR(C7*C$46,"N/A")</f>
        <v>78.970500000000001</v>
      </c>
      <c r="D47" s="106">
        <f>IFERROR(D7*C$46,"N/A")</f>
        <v>99.734999999999999</v>
      </c>
      <c r="E47" s="106">
        <f>IFERROR(E7*C$46,"N/A")</f>
        <v>209.93400000000003</v>
      </c>
      <c r="F47" s="107" t="s">
        <v>118</v>
      </c>
      <c r="G47" s="108"/>
      <c r="H47" s="109">
        <f>IFERROR(H7*H$46,"N/A")</f>
        <v>120.66300000000001</v>
      </c>
      <c r="I47" s="110">
        <f>IFERROR(I7*H$46,"N/A")</f>
        <v>164.23575000000002</v>
      </c>
      <c r="J47" s="110">
        <f>IFERROR(J7*H$46,"N/A")</f>
        <v>260.37375000000003</v>
      </c>
      <c r="K47" s="11" t="s">
        <v>118</v>
      </c>
      <c r="L47" s="8"/>
      <c r="M47" s="5">
        <f>IFERROR(M7*M$46,"N/A")</f>
        <v>104.22307500000001</v>
      </c>
      <c r="N47" s="6">
        <f>IFERROR(N7*M$46,"N/A")</f>
        <v>131.65020000000004</v>
      </c>
      <c r="O47" s="6">
        <f>IFERROR(O7*M$46,"N/A")</f>
        <v>277.14885000000004</v>
      </c>
      <c r="P47" s="7" t="s">
        <v>118</v>
      </c>
      <c r="Q47" s="8"/>
      <c r="R47" s="9">
        <f>IFERROR(R7*R$46,"N/A")</f>
        <v>159.25717500000002</v>
      </c>
      <c r="S47" s="10">
        <f>IFERROR(S7*R$46,"N/A")</f>
        <v>216.80917500000004</v>
      </c>
      <c r="T47" s="10">
        <f>IFERROR(T7*R$46,"N/A")</f>
        <v>343.69335000000007</v>
      </c>
      <c r="U47" s="11" t="s">
        <v>118</v>
      </c>
      <c r="W47" s="5" t="str">
        <f>IFERROR(W7*W$46,"N/A")</f>
        <v>N/A</v>
      </c>
      <c r="X47" s="6" t="str">
        <f>IFERROR(X7*W$46,"N/A")</f>
        <v>N/A</v>
      </c>
      <c r="Y47" s="6" t="str">
        <f>IFERROR(Y7*W$46,"N/A")</f>
        <v>N/A</v>
      </c>
      <c r="Z47" s="7" t="s">
        <v>118</v>
      </c>
      <c r="AA47" s="8"/>
      <c r="AB47" s="9" t="str">
        <f>IFERROR(AB7*AB$46,"N/A")</f>
        <v>N/A</v>
      </c>
      <c r="AC47" s="10" t="str">
        <f>IFERROR(AC7*AB$46,"N/A")</f>
        <v>N/A</v>
      </c>
      <c r="AD47" s="10" t="str">
        <f>IFERROR(AD7*AB$46,"N/A")</f>
        <v>N/A</v>
      </c>
      <c r="AE47" s="11" t="s">
        <v>118</v>
      </c>
      <c r="AF47" s="88"/>
      <c r="AG47" s="5">
        <f>ROUNDDOWN(C47/(1-$AJ$2)*1.2,1)</f>
        <v>189.5</v>
      </c>
      <c r="AH47" s="6">
        <f>ROUNDDOWN(D47/(1-$AJ$2)*1.2,1)</f>
        <v>239.3</v>
      </c>
      <c r="AI47" s="6">
        <f>ROUNDDOWN(E47/(1-$AJ$2)*1.2,1)</f>
        <v>503.8</v>
      </c>
      <c r="AJ47" s="107" t="s">
        <v>118</v>
      </c>
      <c r="AK47" s="108"/>
      <c r="AL47" s="109">
        <f>ROUNDDOWN(H47/(1-$AJ$2)*1.2,1)</f>
        <v>289.5</v>
      </c>
      <c r="AM47" s="10">
        <f t="shared" ref="AM47:AN49" si="84">ROUNDDOWN(I47/(1-$AJ$2)*1.2,1)</f>
        <v>394.1</v>
      </c>
      <c r="AN47" s="10">
        <f t="shared" si="84"/>
        <v>624.79999999999995</v>
      </c>
      <c r="AO47" s="111" t="s">
        <v>118</v>
      </c>
      <c r="AP47" s="88"/>
    </row>
    <row r="48" spans="1:42" ht="14.45" customHeight="1" x14ac:dyDescent="0.25">
      <c r="A48" s="222"/>
      <c r="B48" s="27" t="s">
        <v>24</v>
      </c>
      <c r="C48" s="112">
        <f>IFERROR(C8*C$46,"N/A")</f>
        <v>82.894500000000008</v>
      </c>
      <c r="D48" s="113">
        <f>IFERROR(D8*C$46,"N/A")</f>
        <v>128.3475</v>
      </c>
      <c r="E48" s="113">
        <f>IFERROR(E8*C$46,"N/A")</f>
        <v>252.85275000000001</v>
      </c>
      <c r="F48" s="114" t="s">
        <v>118</v>
      </c>
      <c r="G48" s="108"/>
      <c r="H48" s="115">
        <f>IFERROR(H8*H$46,"N/A")</f>
        <v>126.71250000000001</v>
      </c>
      <c r="I48" s="116">
        <f>IFERROR(I8*H$46,"N/A")</f>
        <v>196.60875000000001</v>
      </c>
      <c r="J48" s="116">
        <f>IFERROR(J8*H$46,"N/A")</f>
        <v>290.13075000000003</v>
      </c>
      <c r="K48" s="17" t="s">
        <v>118</v>
      </c>
      <c r="L48" s="8"/>
      <c r="M48" s="12">
        <f>IFERROR(M8*M$46,"N/A")</f>
        <v>109.43872500000002</v>
      </c>
      <c r="N48" s="13">
        <f>IFERROR(N8*M$46,"N/A")</f>
        <v>169.41870000000003</v>
      </c>
      <c r="O48" s="13">
        <f>IFERROR(O8*M$46,"N/A")</f>
        <v>333.80160000000001</v>
      </c>
      <c r="P48" s="14" t="s">
        <v>118</v>
      </c>
      <c r="Q48" s="8"/>
      <c r="R48" s="15">
        <f>IFERROR(R8*R$46,"N/A")</f>
        <v>167.26050000000006</v>
      </c>
      <c r="S48" s="16">
        <f>IFERROR(S8*R$46,"N/A")</f>
        <v>259.52355000000006</v>
      </c>
      <c r="T48" s="16">
        <f>IFERROR(T8*R$46,"N/A")</f>
        <v>382.99057500000015</v>
      </c>
      <c r="U48" s="17" t="s">
        <v>118</v>
      </c>
      <c r="W48" s="12" t="str">
        <f>IFERROR(W8*W$46,"N/A")</f>
        <v>N/A</v>
      </c>
      <c r="X48" s="13" t="str">
        <f>IFERROR(X8*W$46,"N/A")</f>
        <v>N/A</v>
      </c>
      <c r="Y48" s="13" t="str">
        <f>IFERROR(Y8*W$46,"N/A")</f>
        <v>N/A</v>
      </c>
      <c r="Z48" s="14" t="s">
        <v>118</v>
      </c>
      <c r="AA48" s="8"/>
      <c r="AB48" s="15" t="str">
        <f>IFERROR(AB8*AB$46,"N/A")</f>
        <v>N/A</v>
      </c>
      <c r="AC48" s="16" t="str">
        <f>IFERROR(AC8*AB$46,"N/A")</f>
        <v>N/A</v>
      </c>
      <c r="AD48" s="16" t="str">
        <f>IFERROR(AD8*AB$46,"N/A")</f>
        <v>N/A</v>
      </c>
      <c r="AE48" s="17" t="s">
        <v>118</v>
      </c>
      <c r="AF48" s="88"/>
      <c r="AG48" s="12">
        <f t="shared" ref="AG48:AI49" si="85">ROUNDDOWN(C48/(1-$AJ$2)*1.2,1)</f>
        <v>198.9</v>
      </c>
      <c r="AH48" s="13">
        <f t="shared" si="85"/>
        <v>308</v>
      </c>
      <c r="AI48" s="13">
        <f t="shared" si="85"/>
        <v>606.79999999999995</v>
      </c>
      <c r="AJ48" s="114" t="s">
        <v>118</v>
      </c>
      <c r="AK48" s="108"/>
      <c r="AL48" s="115">
        <f t="shared" ref="AL48:AL49" si="86">ROUNDDOWN(H48/(1-$AJ$2)*1.2,1)</f>
        <v>304.10000000000002</v>
      </c>
      <c r="AM48" s="16">
        <f t="shared" si="84"/>
        <v>471.8</v>
      </c>
      <c r="AN48" s="16">
        <f t="shared" si="84"/>
        <v>696.3</v>
      </c>
      <c r="AO48" s="117" t="s">
        <v>118</v>
      </c>
      <c r="AP48" s="88"/>
    </row>
    <row r="49" spans="1:42" ht="14.45" customHeight="1" x14ac:dyDescent="0.25">
      <c r="A49" s="222"/>
      <c r="B49" s="27" t="s">
        <v>25</v>
      </c>
      <c r="C49" s="112">
        <f>IFERROR(C9*C$46,"N/A")</f>
        <v>91.478250000000003</v>
      </c>
      <c r="D49" s="113">
        <f>IFERROR(D9*C$46,"N/A")</f>
        <v>151.07400000000001</v>
      </c>
      <c r="E49" s="113">
        <f>IFERROR(E9*C$46,"N/A")</f>
        <v>308.60625000000005</v>
      </c>
      <c r="F49" s="114" t="s">
        <v>118</v>
      </c>
      <c r="G49" s="108"/>
      <c r="H49" s="115">
        <f>IFERROR(H9*H$46,"N/A")</f>
        <v>140.03775000000002</v>
      </c>
      <c r="I49" s="116">
        <f>IFERROR(I9*H$46,"N/A")</f>
        <v>220.47975</v>
      </c>
      <c r="J49" s="116">
        <f>IFERROR(J9*H$46,"N/A")</f>
        <v>356.75700000000006</v>
      </c>
      <c r="K49" s="17" t="s">
        <v>118</v>
      </c>
      <c r="L49" s="8"/>
      <c r="M49" s="12">
        <f>IFERROR(M9*M$46,"N/A")</f>
        <v>120.76927500000002</v>
      </c>
      <c r="N49" s="13">
        <f>IFERROR(N9*M$46,"N/A")</f>
        <v>199.45365000000004</v>
      </c>
      <c r="O49" s="13">
        <f>IFERROR(O9*M$46,"N/A")</f>
        <v>407.36025000000001</v>
      </c>
      <c r="P49" s="14" t="s">
        <v>118</v>
      </c>
      <c r="Q49" s="8"/>
      <c r="R49" s="15">
        <f>IFERROR(R9*R$46,"N/A")</f>
        <v>184.88580000000002</v>
      </c>
      <c r="S49" s="16">
        <f>IFERROR(S9*R$46,"N/A")</f>
        <v>290.99730000000005</v>
      </c>
      <c r="T49" s="16">
        <f>IFERROR(T9*R$46,"N/A")</f>
        <v>470.93722500000001</v>
      </c>
      <c r="U49" s="17" t="s">
        <v>118</v>
      </c>
      <c r="W49" s="12" t="str">
        <f>IFERROR(W9*W$46,"N/A")</f>
        <v>N/A</v>
      </c>
      <c r="X49" s="13" t="str">
        <f>IFERROR(X9*W$46,"N/A")</f>
        <v>N/A</v>
      </c>
      <c r="Y49" s="13" t="str">
        <f>IFERROR(Y9*W$46,"N/A")</f>
        <v>N/A</v>
      </c>
      <c r="Z49" s="14" t="s">
        <v>118</v>
      </c>
      <c r="AA49" s="8"/>
      <c r="AB49" s="15" t="str">
        <f>IFERROR(AB9*AB$46,"N/A")</f>
        <v>N/A</v>
      </c>
      <c r="AC49" s="16" t="str">
        <f>IFERROR(AC9*AB$46,"N/A")</f>
        <v>N/A</v>
      </c>
      <c r="AD49" s="16" t="str">
        <f>IFERROR(AD9*AB$46,"N/A")</f>
        <v>N/A</v>
      </c>
      <c r="AE49" s="17" t="s">
        <v>118</v>
      </c>
      <c r="AF49" s="88"/>
      <c r="AG49" s="12">
        <f t="shared" si="85"/>
        <v>219.5</v>
      </c>
      <c r="AH49" s="13">
        <f t="shared" si="85"/>
        <v>362.5</v>
      </c>
      <c r="AI49" s="13">
        <f t="shared" si="85"/>
        <v>740.6</v>
      </c>
      <c r="AJ49" s="114" t="s">
        <v>118</v>
      </c>
      <c r="AK49" s="108"/>
      <c r="AL49" s="115">
        <f t="shared" si="86"/>
        <v>336</v>
      </c>
      <c r="AM49" s="16">
        <f t="shared" si="84"/>
        <v>529.1</v>
      </c>
      <c r="AN49" s="16">
        <f t="shared" si="84"/>
        <v>856.2</v>
      </c>
      <c r="AO49" s="117" t="s">
        <v>118</v>
      </c>
      <c r="AP49" s="88"/>
    </row>
    <row r="50" spans="1:42" ht="14.45" customHeight="1" x14ac:dyDescent="0.25">
      <c r="A50" s="222"/>
      <c r="B50" s="27" t="s">
        <v>26</v>
      </c>
      <c r="C50" s="12" t="s">
        <v>118</v>
      </c>
      <c r="D50" s="13" t="s">
        <v>118</v>
      </c>
      <c r="E50" s="13" t="s">
        <v>118</v>
      </c>
      <c r="F50" s="14" t="s">
        <v>118</v>
      </c>
      <c r="G50" s="8"/>
      <c r="H50" s="15" t="s">
        <v>118</v>
      </c>
      <c r="I50" s="16" t="s">
        <v>118</v>
      </c>
      <c r="J50" s="16" t="s">
        <v>118</v>
      </c>
      <c r="K50" s="17" t="s">
        <v>118</v>
      </c>
      <c r="L50" s="8"/>
      <c r="M50" s="12" t="s">
        <v>118</v>
      </c>
      <c r="N50" s="13" t="s">
        <v>118</v>
      </c>
      <c r="O50" s="13" t="s">
        <v>118</v>
      </c>
      <c r="P50" s="14" t="s">
        <v>118</v>
      </c>
      <c r="Q50" s="8"/>
      <c r="R50" s="15" t="s">
        <v>118</v>
      </c>
      <c r="S50" s="16" t="s">
        <v>118</v>
      </c>
      <c r="T50" s="16" t="s">
        <v>118</v>
      </c>
      <c r="U50" s="17" t="s">
        <v>118</v>
      </c>
      <c r="W50" s="12" t="s">
        <v>118</v>
      </c>
      <c r="X50" s="13" t="s">
        <v>118</v>
      </c>
      <c r="Y50" s="13" t="s">
        <v>118</v>
      </c>
      <c r="Z50" s="14" t="s">
        <v>118</v>
      </c>
      <c r="AA50" s="8"/>
      <c r="AB50" s="15" t="s">
        <v>118</v>
      </c>
      <c r="AC50" s="16" t="s">
        <v>118</v>
      </c>
      <c r="AD50" s="16" t="s">
        <v>118</v>
      </c>
      <c r="AE50" s="17" t="s">
        <v>118</v>
      </c>
      <c r="AF50" s="88"/>
      <c r="AG50" s="112" t="s">
        <v>118</v>
      </c>
      <c r="AH50" s="113" t="s">
        <v>118</v>
      </c>
      <c r="AI50" s="113" t="s">
        <v>118</v>
      </c>
      <c r="AJ50" s="114" t="s">
        <v>118</v>
      </c>
      <c r="AK50" s="108"/>
      <c r="AL50" s="15" t="s">
        <v>118</v>
      </c>
      <c r="AM50" s="116" t="s">
        <v>118</v>
      </c>
      <c r="AN50" s="116" t="s">
        <v>118</v>
      </c>
      <c r="AO50" s="117" t="s">
        <v>118</v>
      </c>
      <c r="AP50" s="88"/>
    </row>
    <row r="51" spans="1:42" ht="14.45" customHeight="1" x14ac:dyDescent="0.25">
      <c r="A51" s="222"/>
      <c r="B51" s="27" t="s">
        <v>27</v>
      </c>
      <c r="C51" s="12" t="s">
        <v>118</v>
      </c>
      <c r="D51" s="13" t="s">
        <v>118</v>
      </c>
      <c r="E51" s="13" t="s">
        <v>118</v>
      </c>
      <c r="F51" s="14" t="s">
        <v>118</v>
      </c>
      <c r="G51" s="8"/>
      <c r="H51" s="15" t="s">
        <v>118</v>
      </c>
      <c r="I51" s="16" t="s">
        <v>118</v>
      </c>
      <c r="J51" s="16" t="s">
        <v>118</v>
      </c>
      <c r="K51" s="17" t="s">
        <v>118</v>
      </c>
      <c r="L51" s="8"/>
      <c r="M51" s="12" t="s">
        <v>118</v>
      </c>
      <c r="N51" s="13" t="s">
        <v>118</v>
      </c>
      <c r="O51" s="13" t="s">
        <v>118</v>
      </c>
      <c r="P51" s="14" t="s">
        <v>118</v>
      </c>
      <c r="Q51" s="8"/>
      <c r="R51" s="15" t="s">
        <v>118</v>
      </c>
      <c r="S51" s="16" t="s">
        <v>118</v>
      </c>
      <c r="T51" s="16" t="s">
        <v>118</v>
      </c>
      <c r="U51" s="17" t="s">
        <v>118</v>
      </c>
      <c r="W51" s="12" t="s">
        <v>118</v>
      </c>
      <c r="X51" s="13" t="s">
        <v>118</v>
      </c>
      <c r="Y51" s="13" t="s">
        <v>118</v>
      </c>
      <c r="Z51" s="14" t="s">
        <v>118</v>
      </c>
      <c r="AA51" s="8"/>
      <c r="AB51" s="15" t="s">
        <v>118</v>
      </c>
      <c r="AC51" s="16" t="s">
        <v>118</v>
      </c>
      <c r="AD51" s="16" t="s">
        <v>118</v>
      </c>
      <c r="AE51" s="17" t="s">
        <v>118</v>
      </c>
      <c r="AF51" s="88"/>
      <c r="AG51" s="112" t="s">
        <v>118</v>
      </c>
      <c r="AH51" s="113" t="s">
        <v>118</v>
      </c>
      <c r="AI51" s="113" t="s">
        <v>118</v>
      </c>
      <c r="AJ51" s="114" t="s">
        <v>118</v>
      </c>
      <c r="AK51" s="108"/>
      <c r="AL51" s="115" t="s">
        <v>118</v>
      </c>
      <c r="AM51" s="116" t="s">
        <v>118</v>
      </c>
      <c r="AN51" s="116" t="s">
        <v>118</v>
      </c>
      <c r="AO51" s="117" t="s">
        <v>118</v>
      </c>
      <c r="AP51" s="88"/>
    </row>
    <row r="52" spans="1:42" ht="14.45" customHeight="1" thickBot="1" x14ac:dyDescent="0.3">
      <c r="A52" s="223"/>
      <c r="B52" s="27" t="s">
        <v>29</v>
      </c>
      <c r="C52" s="12" t="str">
        <f>IFERROR(C20*C$38,"N/A")</f>
        <v>N/A</v>
      </c>
      <c r="D52" s="13" t="s">
        <v>118</v>
      </c>
      <c r="E52" s="13" t="s">
        <v>118</v>
      </c>
      <c r="F52" s="14" t="s">
        <v>118</v>
      </c>
      <c r="G52" s="8"/>
      <c r="H52" s="15" t="s">
        <v>118</v>
      </c>
      <c r="I52" s="16" t="s">
        <v>118</v>
      </c>
      <c r="J52" s="16" t="s">
        <v>118</v>
      </c>
      <c r="K52" s="17" t="s">
        <v>118</v>
      </c>
      <c r="L52" s="8"/>
      <c r="M52" s="12" t="str">
        <f>IFERROR(M20*M$38,"N/A")</f>
        <v>N/A</v>
      </c>
      <c r="N52" s="13" t="s">
        <v>118</v>
      </c>
      <c r="O52" s="13" t="s">
        <v>118</v>
      </c>
      <c r="P52" s="14" t="s">
        <v>118</v>
      </c>
      <c r="Q52" s="8"/>
      <c r="R52" s="15" t="s">
        <v>118</v>
      </c>
      <c r="S52" s="16" t="s">
        <v>118</v>
      </c>
      <c r="T52" s="16" t="s">
        <v>118</v>
      </c>
      <c r="U52" s="17" t="s">
        <v>118</v>
      </c>
      <c r="W52" s="12" t="str">
        <f>IFERROR(W20*W$38,"N/A")</f>
        <v>N/A</v>
      </c>
      <c r="X52" s="13" t="s">
        <v>118</v>
      </c>
      <c r="Y52" s="13" t="s">
        <v>118</v>
      </c>
      <c r="Z52" s="14" t="s">
        <v>118</v>
      </c>
      <c r="AA52" s="8"/>
      <c r="AB52" s="15" t="s">
        <v>118</v>
      </c>
      <c r="AC52" s="16" t="s">
        <v>118</v>
      </c>
      <c r="AD52" s="16" t="s">
        <v>118</v>
      </c>
      <c r="AE52" s="17" t="s">
        <v>118</v>
      </c>
      <c r="AF52" s="88"/>
      <c r="AG52" s="112" t="str">
        <f>IFERROR(AG20*AG$38,"N/A")</f>
        <v>N/A</v>
      </c>
      <c r="AH52" s="113" t="s">
        <v>118</v>
      </c>
      <c r="AI52" s="113" t="s">
        <v>118</v>
      </c>
      <c r="AJ52" s="114" t="s">
        <v>118</v>
      </c>
      <c r="AK52" s="108"/>
      <c r="AL52" s="115" t="s">
        <v>118</v>
      </c>
      <c r="AM52" s="116" t="s">
        <v>118</v>
      </c>
      <c r="AN52" s="116" t="s">
        <v>118</v>
      </c>
      <c r="AO52" s="117" t="s">
        <v>118</v>
      </c>
      <c r="AP52" s="88"/>
    </row>
  </sheetData>
  <mergeCells count="21">
    <mergeCell ref="A15:A20"/>
    <mergeCell ref="A23:A28"/>
    <mergeCell ref="A31:A36"/>
    <mergeCell ref="A39:A44"/>
    <mergeCell ref="A47:A52"/>
    <mergeCell ref="AB3:AE3"/>
    <mergeCell ref="AG3:AJ3"/>
    <mergeCell ref="AL3:AO3"/>
    <mergeCell ref="AS3:AV3"/>
    <mergeCell ref="AW3:AZ3"/>
    <mergeCell ref="A7:A12"/>
    <mergeCell ref="C1:K1"/>
    <mergeCell ref="M1:U1"/>
    <mergeCell ref="W1:AE1"/>
    <mergeCell ref="AG1:AO1"/>
    <mergeCell ref="AR2:BB2"/>
    <mergeCell ref="C3:F3"/>
    <mergeCell ref="H3:K3"/>
    <mergeCell ref="M3:P3"/>
    <mergeCell ref="R3:U3"/>
    <mergeCell ref="W3:Z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B8021-91E7-414D-9C50-45CF8E59FCD1}">
  <sheetPr>
    <tabColor rgb="FFFF0000"/>
  </sheetPr>
  <dimension ref="A1:BB52"/>
  <sheetViews>
    <sheetView showGridLines="0" zoomScale="85" zoomScaleNormal="85" workbookViewId="0">
      <pane xSplit="2" ySplit="6" topLeftCell="F7" activePane="bottomRight" state="frozen"/>
      <selection pane="topRight" activeCell="C1" sqref="C1"/>
      <selection pane="bottomLeft" activeCell="A8" sqref="A8"/>
      <selection pane="bottomRight" activeCell="J12" sqref="J12"/>
    </sheetView>
  </sheetViews>
  <sheetFormatPr defaultColWidth="8.85546875" defaultRowHeight="15" x14ac:dyDescent="0.25"/>
  <cols>
    <col min="1" max="1" width="10" style="1" customWidth="1"/>
    <col min="2" max="2" width="20" style="25" bestFit="1" customWidth="1"/>
    <col min="3" max="6" width="12.5703125" style="1" customWidth="1"/>
    <col min="7" max="7" width="1.5703125" style="1" customWidth="1"/>
    <col min="8" max="11" width="12.5703125" style="1" customWidth="1"/>
    <col min="12" max="12" width="2.5703125" style="1" customWidth="1"/>
    <col min="13" max="16" width="12.5703125" style="1" customWidth="1"/>
    <col min="17" max="17" width="1.5703125" style="1" customWidth="1"/>
    <col min="18" max="21" width="12.5703125" style="1" customWidth="1"/>
    <col min="22" max="22" width="1.5703125" style="1" hidden="1" customWidth="1"/>
    <col min="23" max="26" width="12.5703125" style="1" hidden="1" customWidth="1"/>
    <col min="27" max="27" width="1.5703125" style="1" hidden="1" customWidth="1"/>
    <col min="28" max="31" width="12.5703125" style="1" hidden="1" customWidth="1"/>
    <col min="32" max="32" width="5.28515625" customWidth="1"/>
    <col min="33" max="36" width="12.5703125" style="1" customWidth="1"/>
    <col min="37" max="37" width="1.5703125" style="1" customWidth="1"/>
    <col min="38" max="41" width="12.5703125" style="1" customWidth="1"/>
    <col min="42" max="42" width="5.42578125" customWidth="1"/>
    <col min="43" max="43" width="8.85546875" style="1" hidden="1" customWidth="1"/>
    <col min="44" max="44" width="6.42578125" style="1" hidden="1" customWidth="1"/>
    <col min="45" max="54" width="12.5703125" style="1" hidden="1" customWidth="1"/>
    <col min="55" max="16384" width="8.85546875" style="1"/>
  </cols>
  <sheetData>
    <row r="1" spans="1:54" ht="19.5" thickBot="1" x14ac:dyDescent="0.35">
      <c r="A1" s="32" t="s">
        <v>94</v>
      </c>
      <c r="B1" s="36">
        <v>46013</v>
      </c>
      <c r="C1" s="224" t="s">
        <v>170</v>
      </c>
      <c r="D1" s="225"/>
      <c r="E1" s="225"/>
      <c r="F1" s="225"/>
      <c r="G1" s="225"/>
      <c r="H1" s="225"/>
      <c r="I1" s="225"/>
      <c r="J1" s="225"/>
      <c r="K1" s="226"/>
      <c r="L1" s="3"/>
      <c r="M1" s="227" t="s">
        <v>171</v>
      </c>
      <c r="N1" s="228"/>
      <c r="O1" s="228"/>
      <c r="P1" s="228"/>
      <c r="Q1" s="228"/>
      <c r="R1" s="228"/>
      <c r="S1" s="228"/>
      <c r="T1" s="228"/>
      <c r="U1" s="229"/>
      <c r="W1" s="230" t="s">
        <v>95</v>
      </c>
      <c r="X1" s="231"/>
      <c r="Y1" s="231"/>
      <c r="Z1" s="231"/>
      <c r="AA1" s="231"/>
      <c r="AB1" s="231"/>
      <c r="AC1" s="231"/>
      <c r="AD1" s="231"/>
      <c r="AE1" s="232"/>
      <c r="AF1" s="84"/>
      <c r="AG1" s="230" t="s">
        <v>172</v>
      </c>
      <c r="AH1" s="231"/>
      <c r="AI1" s="231"/>
      <c r="AJ1" s="231"/>
      <c r="AK1" s="231"/>
      <c r="AL1" s="231"/>
      <c r="AM1" s="231"/>
      <c r="AN1" s="231"/>
      <c r="AO1" s="232"/>
      <c r="AP1" s="84"/>
    </row>
    <row r="2" spans="1:54" ht="15.75" thickBot="1" x14ac:dyDescent="0.3">
      <c r="A2" s="32" t="s">
        <v>96</v>
      </c>
      <c r="B2" s="36"/>
      <c r="AJ2" s="82">
        <v>0.5</v>
      </c>
      <c r="AR2" s="239" t="s">
        <v>97</v>
      </c>
      <c r="AS2" s="239"/>
      <c r="AT2" s="239"/>
      <c r="AU2" s="239"/>
      <c r="AV2" s="239"/>
      <c r="AW2" s="239"/>
      <c r="AX2" s="239"/>
      <c r="AY2" s="239"/>
      <c r="AZ2" s="239"/>
      <c r="BA2" s="239"/>
      <c r="BB2" s="239"/>
    </row>
    <row r="3" spans="1:54" s="4" customFormat="1" ht="15.75" thickBot="1" x14ac:dyDescent="0.3">
      <c r="A3" s="32" t="s">
        <v>98</v>
      </c>
      <c r="B3" s="34">
        <f>B2-B1+1</f>
        <v>-46012</v>
      </c>
      <c r="C3" s="236" t="s">
        <v>20</v>
      </c>
      <c r="D3" s="237"/>
      <c r="E3" s="237"/>
      <c r="F3" s="238"/>
      <c r="H3" s="233" t="s">
        <v>21</v>
      </c>
      <c r="I3" s="234"/>
      <c r="J3" s="234"/>
      <c r="K3" s="235"/>
      <c r="M3" s="236" t="s">
        <v>20</v>
      </c>
      <c r="N3" s="237"/>
      <c r="O3" s="237"/>
      <c r="P3" s="238"/>
      <c r="R3" s="233" t="s">
        <v>21</v>
      </c>
      <c r="S3" s="234"/>
      <c r="T3" s="234"/>
      <c r="U3" s="235"/>
      <c r="V3" s="1"/>
      <c r="W3" s="236" t="s">
        <v>20</v>
      </c>
      <c r="X3" s="237"/>
      <c r="Y3" s="237"/>
      <c r="Z3" s="238"/>
      <c r="AB3" s="233" t="s">
        <v>21</v>
      </c>
      <c r="AC3" s="234"/>
      <c r="AD3" s="234"/>
      <c r="AE3" s="235"/>
      <c r="AF3" s="85"/>
      <c r="AG3" s="236" t="s">
        <v>20</v>
      </c>
      <c r="AH3" s="237"/>
      <c r="AI3" s="237"/>
      <c r="AJ3" s="238"/>
      <c r="AL3" s="233" t="s">
        <v>21</v>
      </c>
      <c r="AM3" s="234"/>
      <c r="AN3" s="234"/>
      <c r="AO3" s="235"/>
      <c r="AP3" s="85"/>
      <c r="AS3" s="240" t="s">
        <v>99</v>
      </c>
      <c r="AT3" s="241"/>
      <c r="AU3" s="241"/>
      <c r="AV3" s="242"/>
      <c r="AW3" s="240" t="s">
        <v>100</v>
      </c>
      <c r="AX3" s="241"/>
      <c r="AY3" s="241"/>
      <c r="AZ3" s="242"/>
    </row>
    <row r="4" spans="1:54" ht="1.5" customHeight="1" thickBot="1" x14ac:dyDescent="0.3">
      <c r="B4" s="32">
        <v>102</v>
      </c>
      <c r="C4" s="2"/>
      <c r="D4" s="2"/>
      <c r="E4" s="2"/>
      <c r="F4" s="2"/>
      <c r="H4" s="2"/>
      <c r="I4" s="2"/>
      <c r="J4" s="2"/>
      <c r="K4" s="2"/>
      <c r="M4" s="2"/>
      <c r="N4" s="2"/>
      <c r="O4" s="2"/>
      <c r="P4" s="2"/>
      <c r="R4" s="2"/>
      <c r="S4" s="2"/>
      <c r="T4" s="2"/>
      <c r="U4" s="2"/>
      <c r="W4" s="2"/>
      <c r="X4" s="2"/>
      <c r="Y4" s="2"/>
      <c r="Z4" s="2"/>
      <c r="AB4" s="2"/>
      <c r="AC4" s="2"/>
      <c r="AD4" s="2"/>
      <c r="AE4" s="2"/>
      <c r="AF4" s="86"/>
      <c r="AG4" s="2"/>
      <c r="AH4" s="2"/>
      <c r="AI4" s="2"/>
      <c r="AJ4" s="2"/>
      <c r="AL4" s="2"/>
      <c r="AM4" s="2"/>
      <c r="AN4" s="2"/>
      <c r="AO4" s="2"/>
      <c r="AP4" s="86"/>
      <c r="AS4" s="63"/>
      <c r="AV4" s="57"/>
      <c r="AW4" s="63"/>
      <c r="AZ4" s="57"/>
    </row>
    <row r="5" spans="1:54" s="18" customFormat="1" ht="68.25" customHeight="1" thickBot="1" x14ac:dyDescent="0.3">
      <c r="A5" s="33" t="s">
        <v>101</v>
      </c>
      <c r="B5" s="35">
        <f>IF((B3-31)/7&gt;0,ROUNDUP((B3-31)/7,0),0)</f>
        <v>0</v>
      </c>
      <c r="C5" s="19" t="s">
        <v>22</v>
      </c>
      <c r="D5" s="20" t="s">
        <v>28</v>
      </c>
      <c r="E5" s="20" t="s">
        <v>102</v>
      </c>
      <c r="F5" s="21" t="s">
        <v>103</v>
      </c>
      <c r="G5" s="4"/>
      <c r="H5" s="22" t="s">
        <v>22</v>
      </c>
      <c r="I5" s="23" t="s">
        <v>28</v>
      </c>
      <c r="J5" s="23" t="s">
        <v>102</v>
      </c>
      <c r="K5" s="24" t="s">
        <v>103</v>
      </c>
      <c r="M5" s="19" t="s">
        <v>22</v>
      </c>
      <c r="N5" s="20" t="s">
        <v>28</v>
      </c>
      <c r="O5" s="20" t="s">
        <v>102</v>
      </c>
      <c r="P5" s="21" t="s">
        <v>103</v>
      </c>
      <c r="Q5" s="4"/>
      <c r="R5" s="22" t="s">
        <v>22</v>
      </c>
      <c r="S5" s="23" t="s">
        <v>28</v>
      </c>
      <c r="T5" s="23" t="s">
        <v>102</v>
      </c>
      <c r="U5" s="24" t="s">
        <v>103</v>
      </c>
      <c r="V5" s="1"/>
      <c r="W5" s="19" t="s">
        <v>22</v>
      </c>
      <c r="X5" s="20" t="s">
        <v>28</v>
      </c>
      <c r="Y5" s="20" t="s">
        <v>102</v>
      </c>
      <c r="Z5" s="21" t="s">
        <v>103</v>
      </c>
      <c r="AA5" s="4"/>
      <c r="AB5" s="22" t="s">
        <v>22</v>
      </c>
      <c r="AC5" s="23" t="s">
        <v>28</v>
      </c>
      <c r="AD5" s="23" t="s">
        <v>102</v>
      </c>
      <c r="AE5" s="24" t="s">
        <v>103</v>
      </c>
      <c r="AF5" s="87"/>
      <c r="AG5" s="19" t="s">
        <v>22</v>
      </c>
      <c r="AH5" s="20" t="s">
        <v>28</v>
      </c>
      <c r="AI5" s="20" t="s">
        <v>102</v>
      </c>
      <c r="AJ5" s="21" t="s">
        <v>103</v>
      </c>
      <c r="AK5" s="4"/>
      <c r="AL5" s="22" t="s">
        <v>22</v>
      </c>
      <c r="AM5" s="23" t="s">
        <v>28</v>
      </c>
      <c r="AN5" s="23" t="s">
        <v>102</v>
      </c>
      <c r="AO5" s="24" t="s">
        <v>103</v>
      </c>
      <c r="AP5" s="87"/>
      <c r="AR5" s="66" t="s">
        <v>104</v>
      </c>
      <c r="AS5" s="61" t="s">
        <v>105</v>
      </c>
      <c r="AT5" s="62" t="s">
        <v>106</v>
      </c>
      <c r="AU5" s="62" t="s">
        <v>107</v>
      </c>
      <c r="AV5" s="60" t="s">
        <v>108</v>
      </c>
      <c r="AW5" s="61" t="s">
        <v>109</v>
      </c>
      <c r="AX5" s="62" t="s">
        <v>110</v>
      </c>
      <c r="AY5" s="62" t="s">
        <v>111</v>
      </c>
      <c r="AZ5" s="60" t="s">
        <v>112</v>
      </c>
      <c r="BA5" s="66" t="s">
        <v>113</v>
      </c>
      <c r="BB5" s="62" t="s">
        <v>114</v>
      </c>
    </row>
    <row r="6" spans="1:54" ht="12.75" customHeight="1" thickBot="1" x14ac:dyDescent="0.3">
      <c r="AR6" s="55"/>
      <c r="AS6" s="63"/>
      <c r="AV6" s="57"/>
      <c r="AW6" s="63"/>
      <c r="AZ6" s="57"/>
      <c r="BA6" s="55"/>
    </row>
    <row r="7" spans="1:54" ht="12.75" customHeight="1" x14ac:dyDescent="0.25">
      <c r="A7" s="221" t="s">
        <v>115</v>
      </c>
      <c r="B7" s="26" t="s">
        <v>23</v>
      </c>
      <c r="C7" s="105">
        <f>'ST Standard from 24 Feb 26'!C5</f>
        <v>9.4700000000000006</v>
      </c>
      <c r="D7" s="106">
        <f>'ST Standard from 24 Feb 26'!C12</f>
        <v>11.96</v>
      </c>
      <c r="E7" s="106">
        <f>'ST Standard from 24 Feb 26'!C20</f>
        <v>25.18</v>
      </c>
      <c r="F7" s="107">
        <f>'ST Standard from 24 Feb 26'!C28</f>
        <v>28.98</v>
      </c>
      <c r="G7" s="108"/>
      <c r="H7" s="109">
        <f>'ST Standard from 24 Feb 26'!D5</f>
        <v>14.47</v>
      </c>
      <c r="I7" s="110">
        <f>'ST Standard from 24 Feb 26'!D12</f>
        <v>19.7</v>
      </c>
      <c r="J7" s="110">
        <f>'ST Standard from 24 Feb 26'!D20</f>
        <v>31.23</v>
      </c>
      <c r="K7" s="111">
        <f>'ST Standard from 24 Feb 26'!D28</f>
        <v>34.53</v>
      </c>
      <c r="L7" s="8"/>
      <c r="M7" s="5">
        <f>'ST Standard from 24 Feb 26'!L5</f>
        <v>12.496</v>
      </c>
      <c r="N7" s="6">
        <f>'ST Standard from 24 Feb 26'!L12</f>
        <v>15.785</v>
      </c>
      <c r="O7" s="6">
        <f>'ST Standard from 24 Feb 26'!L20</f>
        <v>33.242000000000004</v>
      </c>
      <c r="P7" s="107">
        <f>'ST Standard from 24 Feb 26'!L28</f>
        <v>38.258000000000003</v>
      </c>
      <c r="Q7" s="8"/>
      <c r="R7" s="9">
        <f>'ST Standard from 24 Feb 26'!M5</f>
        <v>19.096</v>
      </c>
      <c r="S7" s="10">
        <f>'ST Standard from 24 Feb 26'!M12</f>
        <v>26.004000000000001</v>
      </c>
      <c r="T7" s="10">
        <f>'ST Standard from 24 Feb 26'!M20</f>
        <v>41.228000000000002</v>
      </c>
      <c r="U7" s="11">
        <f>'ST Standard from 24 Feb 26'!M28</f>
        <v>45.584000000000003</v>
      </c>
      <c r="W7" s="5" t="e">
        <f>SUM(C7/(1-#REF!)*1.2,1)</f>
        <v>#REF!</v>
      </c>
      <c r="X7" s="6" t="e">
        <f>SUM(D7/(1-#REF!)*1.2,1)</f>
        <v>#REF!</v>
      </c>
      <c r="Y7" s="6" t="e">
        <f>SUM(E7/(1-#REF!)*1.2,1)</f>
        <v>#REF!</v>
      </c>
      <c r="Z7" s="7" t="e">
        <f>SUM(F7/(1-#REF!)*1.2,1)</f>
        <v>#REF!</v>
      </c>
      <c r="AA7" s="8"/>
      <c r="AB7" s="9" t="e">
        <f>SUM(H7/(1-#REF!)*1.2,1)</f>
        <v>#REF!</v>
      </c>
      <c r="AC7" s="10" t="e">
        <f>SUM(I7/(1-#REF!)*1.2,1)</f>
        <v>#REF!</v>
      </c>
      <c r="AD7" s="10" t="e">
        <f>SUM(J7/(1-#REF!)*1.2,1)</f>
        <v>#REF!</v>
      </c>
      <c r="AE7" s="11" t="e">
        <f>SUM(K7/(1-#REF!)*1.2,1)</f>
        <v>#REF!</v>
      </c>
      <c r="AF7" s="88"/>
      <c r="AG7" s="5">
        <f>ROUNDDOWN(C7/(1-$AJ$2)*1.2,1)</f>
        <v>22.7</v>
      </c>
      <c r="AH7" s="6">
        <f>ROUNDDOWN(D7/(1-$AJ$2)*1.2,1)</f>
        <v>28.7</v>
      </c>
      <c r="AI7" s="6">
        <f>ROUNDDOWN(E7/(1-$AJ$2)*1.2,1)</f>
        <v>60.4</v>
      </c>
      <c r="AJ7" s="107">
        <f>ROUNDDOWN(F7/(1-$AJ$2)*1.2,1)</f>
        <v>69.5</v>
      </c>
      <c r="AK7" s="108"/>
      <c r="AL7" s="109">
        <f>ROUNDDOWN(H7/(1-$AJ$2)*1.2,1)</f>
        <v>34.700000000000003</v>
      </c>
      <c r="AM7" s="10">
        <f t="shared" ref="AM7:AO12" si="0">ROUNDDOWN(I7/(1-$AJ$2)*1.2,1)</f>
        <v>47.2</v>
      </c>
      <c r="AN7" s="10">
        <f t="shared" si="0"/>
        <v>74.900000000000006</v>
      </c>
      <c r="AO7" s="11">
        <f t="shared" si="0"/>
        <v>82.8</v>
      </c>
      <c r="AP7" s="88"/>
      <c r="AQ7" s="32" t="s">
        <v>116</v>
      </c>
      <c r="AR7" s="67">
        <f>N7</f>
        <v>15.785</v>
      </c>
      <c r="AS7" s="64">
        <f>AT7-AR7</f>
        <v>15.785</v>
      </c>
      <c r="AT7" s="56">
        <f>AR7*2</f>
        <v>31.57</v>
      </c>
      <c r="AU7" s="65">
        <f>AV7-AT7</f>
        <v>31.57</v>
      </c>
      <c r="AV7" s="58">
        <f>AT7*2</f>
        <v>63.14</v>
      </c>
      <c r="AW7" s="64" t="e">
        <f>#REF!</f>
        <v>#REF!</v>
      </c>
      <c r="AX7" s="56" t="e">
        <f>AV7+AW7</f>
        <v>#REF!</v>
      </c>
      <c r="AY7" s="65" t="e">
        <f>#REF!</f>
        <v>#REF!</v>
      </c>
      <c r="AZ7" s="58" t="e">
        <f>AX7+AY7</f>
        <v>#REF!</v>
      </c>
      <c r="BA7" s="67">
        <f>AR7*0.15</f>
        <v>2.36775</v>
      </c>
      <c r="BB7" s="56" t="e">
        <f>AZ7-BA7</f>
        <v>#REF!</v>
      </c>
    </row>
    <row r="8" spans="1:54" ht="14.45" customHeight="1" x14ac:dyDescent="0.25">
      <c r="A8" s="222"/>
      <c r="B8" s="27" t="s">
        <v>24</v>
      </c>
      <c r="C8" s="112">
        <f>'ST Standard from 24 Feb 26'!C6</f>
        <v>9.94</v>
      </c>
      <c r="D8" s="113">
        <f>'ST Standard from 24 Feb 26'!C13</f>
        <v>15.39</v>
      </c>
      <c r="E8" s="113">
        <f>'ST Standard from 24 Feb 26'!C21</f>
        <v>30.32</v>
      </c>
      <c r="F8" s="114">
        <f>'ST Standard from 24 Feb 26'!C29</f>
        <v>35.07</v>
      </c>
      <c r="G8" s="108"/>
      <c r="H8" s="115">
        <f>'ST Standard from 24 Feb 26'!D6</f>
        <v>15.2</v>
      </c>
      <c r="I8" s="116">
        <f>'ST Standard from 24 Feb 26'!D13</f>
        <v>23.58</v>
      </c>
      <c r="J8" s="116">
        <f>'ST Standard from 24 Feb 26'!D21</f>
        <v>34.79</v>
      </c>
      <c r="K8" s="117">
        <f>'ST Standard from 24 Feb 26'!D29</f>
        <v>41.53</v>
      </c>
      <c r="L8" s="8"/>
      <c r="M8" s="12">
        <f>'ST Standard from 24 Feb 26'!L6</f>
        <v>13.123000000000001</v>
      </c>
      <c r="N8" s="13">
        <f>'ST Standard from 24 Feb 26'!L13</f>
        <v>20.317</v>
      </c>
      <c r="O8" s="13">
        <f>'ST Standard from 24 Feb 26'!L21</f>
        <v>40.018000000000008</v>
      </c>
      <c r="P8" s="114">
        <f>'ST Standard from 24 Feb 26'!L29</f>
        <v>46.288000000000004</v>
      </c>
      <c r="Q8" s="8"/>
      <c r="R8" s="15">
        <f>'ST Standard from 24 Feb 26'!M6</f>
        <v>20.064</v>
      </c>
      <c r="S8" s="16">
        <f>'ST Standard from 24 Feb 26'!M13</f>
        <v>31.130000000000003</v>
      </c>
      <c r="T8" s="16">
        <f>'ST Standard from 24 Feb 26'!M21</f>
        <v>45.925000000000004</v>
      </c>
      <c r="U8" s="17">
        <f>'ST Standard from 24 Feb 26'!M29</f>
        <v>54.824000000000005</v>
      </c>
      <c r="W8" s="12" t="e">
        <f>SUM(C8/(1-#REF!)*1.2,1)</f>
        <v>#REF!</v>
      </c>
      <c r="X8" s="13" t="e">
        <f>SUM(D8/(1-#REF!)*1.2,1)</f>
        <v>#REF!</v>
      </c>
      <c r="Y8" s="13" t="e">
        <f>SUM(E8/(1-#REF!)*1.2,1)</f>
        <v>#REF!</v>
      </c>
      <c r="Z8" s="14" t="e">
        <f>SUM(F8/(1-#REF!)*1.2,1)</f>
        <v>#REF!</v>
      </c>
      <c r="AA8" s="8"/>
      <c r="AB8" s="15" t="e">
        <f>SUM(H8/(1-#REF!)*1.2,1)</f>
        <v>#REF!</v>
      </c>
      <c r="AC8" s="16" t="e">
        <f>SUM(I8/(1-#REF!)*1.2,1)</f>
        <v>#REF!</v>
      </c>
      <c r="AD8" s="16" t="e">
        <f>SUM(J8/(1-#REF!)*1.2,1)</f>
        <v>#REF!</v>
      </c>
      <c r="AE8" s="17" t="e">
        <f>SUM(K8/(1-#REF!)*1.2,1)</f>
        <v>#REF!</v>
      </c>
      <c r="AF8" s="88"/>
      <c r="AG8" s="12">
        <f t="shared" ref="AG8:AJ12" si="1">ROUNDDOWN(C8/(1-$AJ$2)*1.2,1)</f>
        <v>23.8</v>
      </c>
      <c r="AH8" s="13">
        <f t="shared" si="1"/>
        <v>36.9</v>
      </c>
      <c r="AI8" s="13">
        <f t="shared" si="1"/>
        <v>72.7</v>
      </c>
      <c r="AJ8" s="114">
        <f t="shared" si="1"/>
        <v>84.1</v>
      </c>
      <c r="AK8" s="108"/>
      <c r="AL8" s="115">
        <f t="shared" ref="AL8:AL11" si="2">ROUNDDOWN(H8/(1-$AJ$2)*1.2,1)</f>
        <v>36.4</v>
      </c>
      <c r="AM8" s="16">
        <f t="shared" si="0"/>
        <v>56.5</v>
      </c>
      <c r="AN8" s="16">
        <f t="shared" si="0"/>
        <v>83.4</v>
      </c>
      <c r="AO8" s="17">
        <f t="shared" si="0"/>
        <v>99.6</v>
      </c>
      <c r="AP8" s="88"/>
      <c r="AQ8" s="73" t="s">
        <v>117</v>
      </c>
      <c r="AR8" s="68">
        <f>D7</f>
        <v>11.96</v>
      </c>
      <c r="AS8" s="69">
        <f>AT8-AR8</f>
        <v>11.96</v>
      </c>
      <c r="AT8" s="70">
        <f>AR8*2</f>
        <v>23.92</v>
      </c>
      <c r="AU8" s="71">
        <f>AV8-AT8</f>
        <v>23.92</v>
      </c>
      <c r="AV8" s="72">
        <f>AT8*2</f>
        <v>47.84</v>
      </c>
      <c r="AW8" s="69" t="e">
        <f>#REF!</f>
        <v>#REF!</v>
      </c>
      <c r="AX8" s="70" t="e">
        <f>AV8+AW8</f>
        <v>#REF!</v>
      </c>
      <c r="AY8" s="71" t="e">
        <f>#REF!</f>
        <v>#REF!</v>
      </c>
      <c r="AZ8" s="72" t="e">
        <f>AX8+AY8</f>
        <v>#REF!</v>
      </c>
      <c r="BA8" s="68">
        <f>AR8*0.15</f>
        <v>1.794</v>
      </c>
      <c r="BB8" s="70" t="e">
        <f>AZ8-BA8</f>
        <v>#REF!</v>
      </c>
    </row>
    <row r="9" spans="1:54" ht="14.45" customHeight="1" x14ac:dyDescent="0.25">
      <c r="A9" s="222"/>
      <c r="B9" s="27" t="s">
        <v>25</v>
      </c>
      <c r="C9" s="112">
        <f>'ST Standard from 24 Feb 26'!C7</f>
        <v>10.97</v>
      </c>
      <c r="D9" s="113">
        <f>'ST Standard from 24 Feb 26'!C14</f>
        <v>18.12</v>
      </c>
      <c r="E9" s="113">
        <f>'ST Standard from 24 Feb 26'!C22</f>
        <v>37.01</v>
      </c>
      <c r="F9" s="114">
        <f>'ST Standard from 24 Feb 26'!C30</f>
        <v>43.28</v>
      </c>
      <c r="G9" s="108"/>
      <c r="H9" s="115">
        <f>'ST Standard from 24 Feb 26'!D7</f>
        <v>16.79</v>
      </c>
      <c r="I9" s="116">
        <f>'ST Standard from 24 Feb 26'!D14</f>
        <v>26.44</v>
      </c>
      <c r="J9" s="116">
        <f>'ST Standard from 24 Feb 26'!D22</f>
        <v>42.78</v>
      </c>
      <c r="K9" s="117">
        <f>'ST Standard from 24 Feb 26'!D30</f>
        <v>48.1</v>
      </c>
      <c r="L9" s="8"/>
      <c r="M9" s="12">
        <f>'ST Standard from 24 Feb 26'!L7</f>
        <v>14.476000000000001</v>
      </c>
      <c r="N9" s="13">
        <f>'ST Standard from 24 Feb 26'!L14</f>
        <v>23.914000000000001</v>
      </c>
      <c r="O9" s="13">
        <f>'ST Standard from 24 Feb 26'!L22</f>
        <v>48.850999999999999</v>
      </c>
      <c r="P9" s="114">
        <f>'ST Standard from 24 Feb 26'!L30</f>
        <v>57.134</v>
      </c>
      <c r="Q9" s="8"/>
      <c r="R9" s="15">
        <f>'ST Standard from 24 Feb 26'!M7</f>
        <v>22.164999999999999</v>
      </c>
      <c r="S9" s="16">
        <f>'ST Standard from 24 Feb 26'!M14</f>
        <v>34.903000000000006</v>
      </c>
      <c r="T9" s="16">
        <f>'ST Standard from 24 Feb 26'!M22</f>
        <v>56.474000000000011</v>
      </c>
      <c r="U9" s="17">
        <f>'ST Standard from 24 Feb 26'!M30</f>
        <v>63.492000000000004</v>
      </c>
      <c r="W9" s="12" t="e">
        <f>SUM(C9/(1-#REF!)*1.2,1)</f>
        <v>#REF!</v>
      </c>
      <c r="X9" s="13" t="e">
        <f>SUM(D9/(1-#REF!)*1.2,1)</f>
        <v>#REF!</v>
      </c>
      <c r="Y9" s="13" t="e">
        <f>SUM(E9/(1-#REF!)*1.2,1)</f>
        <v>#REF!</v>
      </c>
      <c r="Z9" s="14" t="e">
        <f>SUM(F9/(1-#REF!)*1.2,1)</f>
        <v>#REF!</v>
      </c>
      <c r="AA9" s="8"/>
      <c r="AB9" s="15" t="e">
        <f>SUM(H9/(1-#REF!)*1.2,1)</f>
        <v>#REF!</v>
      </c>
      <c r="AC9" s="16" t="e">
        <f>SUM(I9/(1-#REF!)*1.2,1)</f>
        <v>#REF!</v>
      </c>
      <c r="AD9" s="16" t="e">
        <f>SUM(J9/(1-#REF!)*1.2,1)</f>
        <v>#REF!</v>
      </c>
      <c r="AE9" s="17" t="e">
        <f>SUM(K9/(1-#REF!)*1.2,1)</f>
        <v>#REF!</v>
      </c>
      <c r="AF9" s="88"/>
      <c r="AG9" s="12">
        <f t="shared" si="1"/>
        <v>26.3</v>
      </c>
      <c r="AH9" s="13">
        <f t="shared" si="1"/>
        <v>43.4</v>
      </c>
      <c r="AI9" s="13">
        <f t="shared" si="1"/>
        <v>88.8</v>
      </c>
      <c r="AJ9" s="114">
        <f t="shared" si="1"/>
        <v>103.8</v>
      </c>
      <c r="AK9" s="108"/>
      <c r="AL9" s="115">
        <f t="shared" si="2"/>
        <v>40.200000000000003</v>
      </c>
      <c r="AM9" s="16">
        <f t="shared" si="0"/>
        <v>63.4</v>
      </c>
      <c r="AN9" s="16">
        <f t="shared" si="0"/>
        <v>102.6</v>
      </c>
      <c r="AO9" s="17">
        <f t="shared" si="0"/>
        <v>115.4</v>
      </c>
      <c r="AP9" s="88"/>
      <c r="AR9" s="37"/>
    </row>
    <row r="10" spans="1:54" ht="14.45" customHeight="1" x14ac:dyDescent="0.25">
      <c r="A10" s="222"/>
      <c r="B10" s="27" t="s">
        <v>26</v>
      </c>
      <c r="C10" s="112">
        <f>'ST Standard from 24 Feb 26'!C8</f>
        <v>12.1</v>
      </c>
      <c r="D10" s="113">
        <f>'ST Standard from 24 Feb 26'!C15</f>
        <v>23.93</v>
      </c>
      <c r="E10" s="113">
        <f>'ST Standard from 24 Feb 26'!C23</f>
        <v>45.71</v>
      </c>
      <c r="F10" s="114">
        <f>'ST Standard from 24 Feb 26'!C31</f>
        <v>54.24</v>
      </c>
      <c r="G10" s="108"/>
      <c r="H10" s="115">
        <f>'ST Standard from 24 Feb 26'!D8</f>
        <v>18.489999999999998</v>
      </c>
      <c r="I10" s="116">
        <f>'ST Standard from 24 Feb 26'!D15</f>
        <v>33.74</v>
      </c>
      <c r="J10" s="116">
        <f>'ST Standard from 24 Feb 26'!D23</f>
        <v>52.77</v>
      </c>
      <c r="K10" s="117">
        <f>'ST Standard from 24 Feb 26'!D31</f>
        <v>62.36</v>
      </c>
      <c r="L10" s="8"/>
      <c r="M10" s="12">
        <f>'ST Standard from 24 Feb 26'!L8</f>
        <v>15.972000000000001</v>
      </c>
      <c r="N10" s="13">
        <f>'ST Standard from 24 Feb 26'!L15</f>
        <v>31.592000000000002</v>
      </c>
      <c r="O10" s="13">
        <f>'ST Standard from 24 Feb 26'!L23</f>
        <v>60.335000000000008</v>
      </c>
      <c r="P10" s="114">
        <f>'ST Standard from 24 Feb 26'!L31</f>
        <v>71.599000000000004</v>
      </c>
      <c r="Q10" s="8"/>
      <c r="R10" s="15">
        <f>'ST Standard from 24 Feb 26'!M8</f>
        <v>24.409000000000002</v>
      </c>
      <c r="S10" s="16">
        <f>'ST Standard from 24 Feb 26'!M15</f>
        <v>44.539000000000009</v>
      </c>
      <c r="T10" s="16">
        <f>'ST Standard from 24 Feb 26'!M23</f>
        <v>69.652000000000001</v>
      </c>
      <c r="U10" s="17">
        <f>'ST Standard from 24 Feb 26'!M31</f>
        <v>82.313000000000002</v>
      </c>
      <c r="W10" s="12" t="e">
        <f>SUM(C10/(1-#REF!)*1.2,1)</f>
        <v>#REF!</v>
      </c>
      <c r="X10" s="13" t="e">
        <f>SUM(D10/(1-#REF!)*1.2,1)</f>
        <v>#REF!</v>
      </c>
      <c r="Y10" s="13" t="e">
        <f>SUM(E10/(1-#REF!)*1.2,1)</f>
        <v>#REF!</v>
      </c>
      <c r="Z10" s="14" t="e">
        <f>SUM(F10/(1-#REF!)*1.2,1)</f>
        <v>#REF!</v>
      </c>
      <c r="AA10" s="8"/>
      <c r="AB10" s="15" t="e">
        <f>SUM(H10/(1-#REF!)*1.2,1)</f>
        <v>#REF!</v>
      </c>
      <c r="AC10" s="16" t="e">
        <f>SUM(I10/(1-#REF!)*1.2,1)</f>
        <v>#REF!</v>
      </c>
      <c r="AD10" s="16" t="e">
        <f>SUM(J10/(1-#REF!)*1.2,1)</f>
        <v>#REF!</v>
      </c>
      <c r="AE10" s="17" t="e">
        <f>SUM(K10/(1-#REF!)*1.2,1)</f>
        <v>#REF!</v>
      </c>
      <c r="AF10" s="88"/>
      <c r="AG10" s="12">
        <f t="shared" si="1"/>
        <v>29</v>
      </c>
      <c r="AH10" s="13">
        <f t="shared" si="1"/>
        <v>57.4</v>
      </c>
      <c r="AI10" s="13">
        <f t="shared" si="1"/>
        <v>109.7</v>
      </c>
      <c r="AJ10" s="114">
        <f t="shared" si="1"/>
        <v>130.1</v>
      </c>
      <c r="AK10" s="108"/>
      <c r="AL10" s="115">
        <f t="shared" si="2"/>
        <v>44.3</v>
      </c>
      <c r="AM10" s="16">
        <f t="shared" si="0"/>
        <v>80.900000000000006</v>
      </c>
      <c r="AN10" s="16">
        <f t="shared" si="0"/>
        <v>126.6</v>
      </c>
      <c r="AO10" s="17">
        <f t="shared" si="0"/>
        <v>149.6</v>
      </c>
      <c r="AP10" s="88"/>
      <c r="AR10" s="37"/>
      <c r="AS10" s="37"/>
      <c r="AT10" s="37"/>
      <c r="AU10" s="37"/>
      <c r="AV10" s="37"/>
      <c r="AW10" s="37"/>
      <c r="AX10" s="37"/>
      <c r="AY10" s="37"/>
      <c r="AZ10" s="37"/>
      <c r="BA10" s="56"/>
      <c r="BB10" s="56"/>
    </row>
    <row r="11" spans="1:54" ht="14.45" customHeight="1" x14ac:dyDescent="0.25">
      <c r="A11" s="222"/>
      <c r="B11" s="27" t="s">
        <v>27</v>
      </c>
      <c r="C11" s="112">
        <f>'ST Standard from 24 Feb 26'!C9</f>
        <v>12.12</v>
      </c>
      <c r="D11" s="113">
        <f>'ST Standard from 24 Feb 26'!C16</f>
        <v>28.23</v>
      </c>
      <c r="E11" s="113">
        <f>'ST Standard from 24 Feb 26'!C24</f>
        <v>51.37</v>
      </c>
      <c r="F11" s="114">
        <f>'ST Standard from 24 Feb 26'!C32</f>
        <v>59.82</v>
      </c>
      <c r="G11" s="108"/>
      <c r="H11" s="115">
        <f>'ST Standard from 24 Feb 26'!D9</f>
        <v>18.5</v>
      </c>
      <c r="I11" s="116">
        <f>'ST Standard from 24 Feb 26'!D16</f>
        <v>39.53</v>
      </c>
      <c r="J11" s="116">
        <f>'ST Standard from 24 Feb 26'!D24</f>
        <v>58.25</v>
      </c>
      <c r="K11" s="117">
        <f>'ST Standard from 24 Feb 26'!D32</f>
        <v>67.5</v>
      </c>
      <c r="L11" s="8"/>
      <c r="M11" s="12">
        <f>'ST Standard from 24 Feb 26'!L9</f>
        <v>15.994</v>
      </c>
      <c r="N11" s="13">
        <f>'ST Standard from 24 Feb 26'!L16</f>
        <v>37.268000000000008</v>
      </c>
      <c r="O11" s="13">
        <f>'ST Standard from 24 Feb 26'!L24</f>
        <v>67.804000000000002</v>
      </c>
      <c r="P11" s="114">
        <f>'ST Standard from 24 Feb 26'!L32</f>
        <v>78.958000000000013</v>
      </c>
      <c r="Q11" s="8"/>
      <c r="R11" s="15">
        <f>'ST Standard from 24 Feb 26'!M9</f>
        <v>24.42</v>
      </c>
      <c r="S11" s="16">
        <f>'ST Standard from 24 Feb 26'!M16</f>
        <v>52.184000000000005</v>
      </c>
      <c r="T11" s="16">
        <f>'ST Standard from 24 Feb 26'!M24</f>
        <v>76.890000000000015</v>
      </c>
      <c r="U11" s="17">
        <f>'ST Standard from 24 Feb 26'!M32</f>
        <v>89.100000000000009</v>
      </c>
      <c r="W11" s="12" t="e">
        <f>SUM(C11/(1-#REF!)*1.2,1)</f>
        <v>#REF!</v>
      </c>
      <c r="X11" s="13" t="e">
        <f>SUM(D11/(1-#REF!)*1.2,1)</f>
        <v>#REF!</v>
      </c>
      <c r="Y11" s="13" t="e">
        <f>SUM(E11/(1-#REF!)*1.2,1)</f>
        <v>#REF!</v>
      </c>
      <c r="Z11" s="14" t="e">
        <f>SUM(F11/(1-#REF!)*1.2,1)</f>
        <v>#REF!</v>
      </c>
      <c r="AA11" s="8"/>
      <c r="AB11" s="15" t="e">
        <f>SUM(H11/(1-#REF!)*1.2,1)</f>
        <v>#REF!</v>
      </c>
      <c r="AC11" s="16" t="e">
        <f>SUM(I11/(1-#REF!)*1.2,1)</f>
        <v>#REF!</v>
      </c>
      <c r="AD11" s="16" t="e">
        <f>SUM(J11/(1-#REF!)*1.2,1)</f>
        <v>#REF!</v>
      </c>
      <c r="AE11" s="17" t="e">
        <f>SUM(K11/(1-#REF!)*1.2,1)</f>
        <v>#REF!</v>
      </c>
      <c r="AF11" s="88"/>
      <c r="AG11" s="112">
        <f t="shared" si="1"/>
        <v>29</v>
      </c>
      <c r="AH11" s="13">
        <f t="shared" si="1"/>
        <v>67.7</v>
      </c>
      <c r="AI11" s="13">
        <f t="shared" si="1"/>
        <v>123.2</v>
      </c>
      <c r="AJ11" s="114">
        <f t="shared" si="1"/>
        <v>143.5</v>
      </c>
      <c r="AK11" s="108"/>
      <c r="AL11" s="115">
        <f t="shared" si="2"/>
        <v>44.4</v>
      </c>
      <c r="AM11" s="16">
        <f t="shared" si="0"/>
        <v>94.8</v>
      </c>
      <c r="AN11" s="16">
        <f t="shared" si="0"/>
        <v>139.80000000000001</v>
      </c>
      <c r="AO11" s="17">
        <f t="shared" si="0"/>
        <v>162</v>
      </c>
      <c r="AP11" s="88"/>
    </row>
    <row r="12" spans="1:54" ht="14.45" customHeight="1" thickBot="1" x14ac:dyDescent="0.3">
      <c r="A12" s="223"/>
      <c r="B12" s="27" t="s">
        <v>29</v>
      </c>
      <c r="C12" s="112" t="s">
        <v>118</v>
      </c>
      <c r="D12" s="113">
        <f>'ST Standard from 24 Feb 26'!C17*1.16</f>
        <v>4.3615999999999993</v>
      </c>
      <c r="E12" s="113">
        <f>'ST Standard from 24 Feb 26'!C25</f>
        <v>7.26</v>
      </c>
      <c r="F12" s="114">
        <f>'ST Standard from 24 Feb 26'!C33</f>
        <v>9.8000000000000007</v>
      </c>
      <c r="G12" s="108"/>
      <c r="H12" s="115" t="s">
        <v>118</v>
      </c>
      <c r="I12" s="116">
        <f>'ST Standard from 24 Feb 26'!D17</f>
        <v>5.1100000000000003</v>
      </c>
      <c r="J12" s="116">
        <f>'ST Standard from 24 Feb 26'!D25</f>
        <v>7.94</v>
      </c>
      <c r="K12" s="117">
        <f>'ST Standard from 24 Feb 26'!D33</f>
        <v>10.61</v>
      </c>
      <c r="L12" s="8"/>
      <c r="M12" s="12" t="s">
        <v>118</v>
      </c>
      <c r="N12" s="13">
        <f>'ST Standard from 24 Feb 26'!L17</f>
        <v>4.9610000000000003</v>
      </c>
      <c r="O12" s="13">
        <f>'ST Standard from 24 Feb 26'!L25</f>
        <v>9.5810000000000013</v>
      </c>
      <c r="P12" s="114">
        <f>'ST Standard from 24 Feb 26'!L33</f>
        <v>12.936</v>
      </c>
      <c r="Q12" s="8"/>
      <c r="R12" s="15" t="s">
        <v>118</v>
      </c>
      <c r="S12" s="16">
        <f>'ST Standard from 24 Feb 26'!M17</f>
        <v>6.7430000000000003</v>
      </c>
      <c r="T12" s="16">
        <f>'ST Standard from 24 Feb 26'!M25</f>
        <v>10.483000000000001</v>
      </c>
      <c r="U12" s="17">
        <f>'ST Standard from 24 Feb 26'!M33</f>
        <v>14.003000000000002</v>
      </c>
      <c r="W12" s="12" t="s">
        <v>118</v>
      </c>
      <c r="X12" s="13" t="e">
        <f>SUM(D12/(1-#REF!)*1.2,1)</f>
        <v>#REF!</v>
      </c>
      <c r="Y12" s="13" t="e">
        <f>SUM(E12/(1-#REF!)*1.2,1)</f>
        <v>#REF!</v>
      </c>
      <c r="Z12" s="14" t="e">
        <f>SUM(F12/(1-#REF!)*1.2,1)</f>
        <v>#REF!</v>
      </c>
      <c r="AA12" s="8"/>
      <c r="AB12" s="15" t="s">
        <v>118</v>
      </c>
      <c r="AC12" s="16" t="e">
        <f>SUM(I12/(1-#REF!)*1.2,1)</f>
        <v>#REF!</v>
      </c>
      <c r="AD12" s="16" t="e">
        <f>SUM(J12/(1-#REF!)*1.2,1)</f>
        <v>#REF!</v>
      </c>
      <c r="AE12" s="17" t="e">
        <f>SUM(K12/(1-#REF!)*1.2,1)</f>
        <v>#REF!</v>
      </c>
      <c r="AF12" s="88"/>
      <c r="AG12" s="112" t="s">
        <v>118</v>
      </c>
      <c r="AH12" s="13">
        <f t="shared" si="1"/>
        <v>10.4</v>
      </c>
      <c r="AI12" s="13">
        <f t="shared" si="1"/>
        <v>17.399999999999999</v>
      </c>
      <c r="AJ12" s="114">
        <f t="shared" si="1"/>
        <v>23.5</v>
      </c>
      <c r="AK12" s="108"/>
      <c r="AL12" s="115" t="s">
        <v>118</v>
      </c>
      <c r="AM12" s="16">
        <f t="shared" si="0"/>
        <v>12.2</v>
      </c>
      <c r="AN12" s="16">
        <f t="shared" si="0"/>
        <v>19</v>
      </c>
      <c r="AO12" s="17">
        <f t="shared" si="0"/>
        <v>25.4</v>
      </c>
      <c r="AP12" s="88"/>
    </row>
    <row r="13" spans="1:54" ht="5.0999999999999996" customHeight="1" thickBot="1" x14ac:dyDescent="0.3"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W13" s="8"/>
      <c r="X13" s="8"/>
      <c r="Y13" s="8"/>
      <c r="Z13" s="8"/>
      <c r="AA13" s="8"/>
      <c r="AB13" s="8"/>
      <c r="AC13" s="8"/>
      <c r="AD13" s="8"/>
      <c r="AE13" s="8"/>
      <c r="AF13" s="89"/>
      <c r="AG13" s="108"/>
      <c r="AH13" s="108"/>
      <c r="AI13" s="108"/>
      <c r="AJ13" s="108"/>
      <c r="AK13" s="108"/>
      <c r="AL13" s="108"/>
      <c r="AM13" s="108"/>
      <c r="AN13" s="108"/>
      <c r="AO13" s="108"/>
      <c r="AP13" s="89"/>
    </row>
    <row r="14" spans="1:54" ht="15.75" thickBot="1" x14ac:dyDescent="0.3">
      <c r="B14" s="28" t="s">
        <v>119</v>
      </c>
      <c r="C14" s="29">
        <v>1.0900000000000001</v>
      </c>
      <c r="D14" s="28"/>
      <c r="E14" s="28"/>
      <c r="F14" s="28"/>
      <c r="G14" s="28"/>
      <c r="H14" s="29">
        <v>1.0900000000000001</v>
      </c>
      <c r="I14" s="28"/>
      <c r="J14" s="28"/>
      <c r="K14" s="28"/>
      <c r="L14" s="28"/>
      <c r="M14" s="29">
        <v>1.0900000000000001</v>
      </c>
      <c r="N14" s="28"/>
      <c r="O14" s="28"/>
      <c r="P14" s="28"/>
      <c r="Q14" s="28"/>
      <c r="R14" s="29">
        <v>1.0900000000000001</v>
      </c>
      <c r="S14" s="8"/>
      <c r="T14" s="8"/>
      <c r="W14" s="31">
        <v>1.0798000000000001</v>
      </c>
      <c r="X14" s="28"/>
      <c r="Y14" s="28"/>
      <c r="Z14" s="28"/>
      <c r="AA14" s="28"/>
      <c r="AB14" s="31">
        <v>1.0798000000000001</v>
      </c>
      <c r="AC14" s="8"/>
      <c r="AD14" s="8"/>
      <c r="AG14" s="108"/>
      <c r="AH14" s="108"/>
      <c r="AI14" s="108"/>
      <c r="AJ14" s="108"/>
      <c r="AK14" s="108"/>
      <c r="AL14" s="108"/>
      <c r="AM14" s="108"/>
      <c r="AN14" s="108"/>
      <c r="AS14" s="32"/>
      <c r="AT14" s="56"/>
      <c r="AU14" s="56"/>
      <c r="AV14" s="56"/>
      <c r="AW14" s="56"/>
      <c r="AX14" s="56"/>
      <c r="AY14" s="56"/>
      <c r="AZ14" s="56"/>
    </row>
    <row r="15" spans="1:54" ht="14.45" customHeight="1" x14ac:dyDescent="0.25">
      <c r="A15" s="221" t="s">
        <v>120</v>
      </c>
      <c r="B15" s="26" t="s">
        <v>23</v>
      </c>
      <c r="C15" s="105">
        <f t="shared" ref="C15:C20" si="3">IFERROR(C7*C$14,"N/A")</f>
        <v>10.322300000000002</v>
      </c>
      <c r="D15" s="106">
        <f t="shared" ref="D15:D20" si="4">IFERROR(D7*C$14,"N/A")</f>
        <v>13.036400000000002</v>
      </c>
      <c r="E15" s="106">
        <f t="shared" ref="E15:E20" si="5">IFERROR(E7*C$14,"N/A")</f>
        <v>27.446200000000001</v>
      </c>
      <c r="F15" s="107">
        <f t="shared" ref="F15:F20" si="6">IFERROR(F7*C$14,"N/A")</f>
        <v>31.588200000000004</v>
      </c>
      <c r="G15" s="108"/>
      <c r="H15" s="109">
        <f t="shared" ref="H15:H20" si="7">IFERROR(H7*H$14,"N/A")</f>
        <v>15.772300000000001</v>
      </c>
      <c r="I15" s="110">
        <f t="shared" ref="I15:I20" si="8">IFERROR(I7*H$14,"N/A")</f>
        <v>21.473000000000003</v>
      </c>
      <c r="J15" s="110">
        <f t="shared" ref="J15:J20" si="9">IFERROR(J7*H$14,"N/A")</f>
        <v>34.040700000000001</v>
      </c>
      <c r="K15" s="111">
        <f t="shared" ref="K15:K20" si="10">IFERROR(K7*H$14,"N/A")</f>
        <v>37.637700000000002</v>
      </c>
      <c r="L15" s="8"/>
      <c r="M15" s="5">
        <f t="shared" ref="M15:M20" si="11">IFERROR(M7*M$14,"N/A")</f>
        <v>13.620640000000002</v>
      </c>
      <c r="N15" s="6">
        <f t="shared" ref="N15:N20" si="12">IFERROR(N7*M$14,"N/A")</f>
        <v>17.205650000000002</v>
      </c>
      <c r="O15" s="6">
        <f t="shared" ref="O15:O20" si="13">IFERROR(O7*M$14,"N/A")</f>
        <v>36.23378000000001</v>
      </c>
      <c r="P15" s="7">
        <f t="shared" ref="P15:P20" si="14">IFERROR(P7*M$14,"N/A")</f>
        <v>41.701220000000006</v>
      </c>
      <c r="Q15" s="8"/>
      <c r="R15" s="9">
        <f t="shared" ref="R15:R20" si="15">IFERROR(R7*R$14,"N/A")</f>
        <v>20.814640000000001</v>
      </c>
      <c r="S15" s="10">
        <f t="shared" ref="S15:S20" si="16">IFERROR(S7*R$14,"N/A")</f>
        <v>28.344360000000002</v>
      </c>
      <c r="T15" s="10">
        <f t="shared" ref="T15:T20" si="17">IFERROR(T7*R$14,"N/A")</f>
        <v>44.938520000000004</v>
      </c>
      <c r="U15" s="11">
        <f t="shared" ref="U15:U20" si="18">IFERROR(U7*R$14,"N/A")</f>
        <v>49.686560000000007</v>
      </c>
      <c r="W15" s="5" t="str">
        <f t="shared" ref="W15:W20" si="19">IFERROR(W7*W$14,"N/A")</f>
        <v>N/A</v>
      </c>
      <c r="X15" s="6" t="str">
        <f t="shared" ref="X15:X20" si="20">IFERROR(X7*W$14,"N/A")</f>
        <v>N/A</v>
      </c>
      <c r="Y15" s="6" t="str">
        <f t="shared" ref="Y15:Y20" si="21">IFERROR(Y7*W$14,"N/A")</f>
        <v>N/A</v>
      </c>
      <c r="Z15" s="7" t="str">
        <f t="shared" ref="Z15:Z20" si="22">IFERROR(Z7*W$14,"N/A")</f>
        <v>N/A</v>
      </c>
      <c r="AA15" s="8"/>
      <c r="AB15" s="9" t="str">
        <f t="shared" ref="AB15:AB20" si="23">IFERROR(AB7*AB$14,"N/A")</f>
        <v>N/A</v>
      </c>
      <c r="AC15" s="10" t="str">
        <f t="shared" ref="AC15:AC20" si="24">IFERROR(AC7*AB$14,"N/A")</f>
        <v>N/A</v>
      </c>
      <c r="AD15" s="10" t="str">
        <f t="shared" ref="AD15:AD20" si="25">IFERROR(AD7*AB$14,"N/A")</f>
        <v>N/A</v>
      </c>
      <c r="AE15" s="11" t="str">
        <f t="shared" ref="AE15:AE20" si="26">IFERROR(AE7*AB$14,"N/A")</f>
        <v>N/A</v>
      </c>
      <c r="AF15" s="88"/>
      <c r="AG15" s="5">
        <f t="shared" ref="AG15:AJ19" si="27">ROUNDDOWN(AG7*$C$14,1)</f>
        <v>24.7</v>
      </c>
      <c r="AH15" s="6">
        <f t="shared" si="27"/>
        <v>31.2</v>
      </c>
      <c r="AI15" s="6">
        <f t="shared" si="27"/>
        <v>65.8</v>
      </c>
      <c r="AJ15" s="107">
        <f t="shared" si="27"/>
        <v>75.7</v>
      </c>
      <c r="AK15" s="108"/>
      <c r="AL15" s="109">
        <f t="shared" ref="AL15:AO19" si="28">ROUNDDOWN(AL7*$C$14,1)</f>
        <v>37.799999999999997</v>
      </c>
      <c r="AM15" s="10">
        <f t="shared" si="28"/>
        <v>51.4</v>
      </c>
      <c r="AN15" s="10">
        <f t="shared" si="28"/>
        <v>81.599999999999994</v>
      </c>
      <c r="AO15" s="11">
        <f t="shared" si="28"/>
        <v>90.2</v>
      </c>
      <c r="AP15" s="88"/>
      <c r="AS15" s="32"/>
      <c r="AT15" s="56"/>
      <c r="AU15" s="56"/>
      <c r="AV15" s="56"/>
      <c r="AW15" s="56"/>
      <c r="AX15" s="56"/>
      <c r="AY15" s="56"/>
      <c r="AZ15" s="56"/>
    </row>
    <row r="16" spans="1:54" ht="14.45" customHeight="1" x14ac:dyDescent="0.25">
      <c r="A16" s="222"/>
      <c r="B16" s="27" t="s">
        <v>24</v>
      </c>
      <c r="C16" s="112">
        <f t="shared" si="3"/>
        <v>10.8346</v>
      </c>
      <c r="D16" s="113">
        <f t="shared" si="4"/>
        <v>16.775100000000002</v>
      </c>
      <c r="E16" s="113">
        <f t="shared" si="5"/>
        <v>33.0488</v>
      </c>
      <c r="F16" s="114">
        <f t="shared" si="6"/>
        <v>38.226300000000002</v>
      </c>
      <c r="G16" s="108"/>
      <c r="H16" s="115">
        <f t="shared" si="7"/>
        <v>16.568000000000001</v>
      </c>
      <c r="I16" s="116">
        <f t="shared" si="8"/>
        <v>25.702200000000001</v>
      </c>
      <c r="J16" s="116">
        <f t="shared" si="9"/>
        <v>37.921100000000003</v>
      </c>
      <c r="K16" s="117">
        <f t="shared" si="10"/>
        <v>45.267700000000005</v>
      </c>
      <c r="L16" s="8"/>
      <c r="M16" s="12">
        <f t="shared" si="11"/>
        <v>14.304070000000003</v>
      </c>
      <c r="N16" s="13">
        <f t="shared" si="12"/>
        <v>22.145530000000001</v>
      </c>
      <c r="O16" s="13">
        <f t="shared" si="13"/>
        <v>43.619620000000012</v>
      </c>
      <c r="P16" s="14">
        <f t="shared" si="14"/>
        <v>50.453920000000011</v>
      </c>
      <c r="Q16" s="8"/>
      <c r="R16" s="15">
        <f t="shared" si="15"/>
        <v>21.869760000000003</v>
      </c>
      <c r="S16" s="16">
        <f t="shared" si="16"/>
        <v>33.931700000000006</v>
      </c>
      <c r="T16" s="16">
        <f t="shared" si="17"/>
        <v>50.058250000000008</v>
      </c>
      <c r="U16" s="17">
        <f t="shared" si="18"/>
        <v>59.758160000000011</v>
      </c>
      <c r="W16" s="12" t="str">
        <f t="shared" si="19"/>
        <v>N/A</v>
      </c>
      <c r="X16" s="13" t="str">
        <f t="shared" si="20"/>
        <v>N/A</v>
      </c>
      <c r="Y16" s="13" t="str">
        <f t="shared" si="21"/>
        <v>N/A</v>
      </c>
      <c r="Z16" s="14" t="str">
        <f t="shared" si="22"/>
        <v>N/A</v>
      </c>
      <c r="AA16" s="8"/>
      <c r="AB16" s="15" t="str">
        <f t="shared" si="23"/>
        <v>N/A</v>
      </c>
      <c r="AC16" s="16" t="str">
        <f t="shared" si="24"/>
        <v>N/A</v>
      </c>
      <c r="AD16" s="16" t="str">
        <f t="shared" si="25"/>
        <v>N/A</v>
      </c>
      <c r="AE16" s="17" t="str">
        <f t="shared" si="26"/>
        <v>N/A</v>
      </c>
      <c r="AF16" s="88"/>
      <c r="AG16" s="12">
        <f t="shared" si="27"/>
        <v>25.9</v>
      </c>
      <c r="AH16" s="13">
        <f t="shared" si="27"/>
        <v>40.200000000000003</v>
      </c>
      <c r="AI16" s="13">
        <f t="shared" si="27"/>
        <v>79.2</v>
      </c>
      <c r="AJ16" s="114">
        <f t="shared" si="27"/>
        <v>91.6</v>
      </c>
      <c r="AK16" s="108"/>
      <c r="AL16" s="115">
        <f t="shared" si="28"/>
        <v>39.6</v>
      </c>
      <c r="AM16" s="16">
        <f t="shared" si="28"/>
        <v>61.5</v>
      </c>
      <c r="AN16" s="16">
        <f t="shared" si="28"/>
        <v>90.9</v>
      </c>
      <c r="AO16" s="17">
        <f t="shared" si="28"/>
        <v>108.5</v>
      </c>
      <c r="AP16" s="88"/>
      <c r="AQ16" s="37"/>
      <c r="AR16" s="37"/>
      <c r="AS16" s="32"/>
      <c r="AT16" s="56"/>
      <c r="AU16" s="56"/>
      <c r="AV16" s="56"/>
      <c r="AW16" s="56"/>
      <c r="AX16" s="56"/>
      <c r="AY16" s="56"/>
      <c r="AZ16" s="56"/>
    </row>
    <row r="17" spans="1:52" ht="14.45" customHeight="1" x14ac:dyDescent="0.25">
      <c r="A17" s="222"/>
      <c r="B17" s="27" t="s">
        <v>25</v>
      </c>
      <c r="C17" s="112">
        <f t="shared" si="3"/>
        <v>11.957300000000002</v>
      </c>
      <c r="D17" s="113">
        <f t="shared" si="4"/>
        <v>19.750800000000002</v>
      </c>
      <c r="E17" s="113">
        <f t="shared" si="5"/>
        <v>40.340899999999998</v>
      </c>
      <c r="F17" s="114">
        <f t="shared" si="6"/>
        <v>47.175200000000004</v>
      </c>
      <c r="G17" s="108"/>
      <c r="H17" s="115">
        <f t="shared" si="7"/>
        <v>18.301100000000002</v>
      </c>
      <c r="I17" s="116">
        <f t="shared" si="8"/>
        <v>28.819600000000005</v>
      </c>
      <c r="J17" s="116">
        <f t="shared" si="9"/>
        <v>46.630200000000002</v>
      </c>
      <c r="K17" s="117">
        <f t="shared" si="10"/>
        <v>52.429000000000002</v>
      </c>
      <c r="L17" s="8"/>
      <c r="M17" s="12">
        <f t="shared" si="11"/>
        <v>15.778840000000002</v>
      </c>
      <c r="N17" s="13">
        <f t="shared" si="12"/>
        <v>26.066260000000003</v>
      </c>
      <c r="O17" s="13">
        <f t="shared" si="13"/>
        <v>53.247590000000002</v>
      </c>
      <c r="P17" s="14">
        <f t="shared" si="14"/>
        <v>62.276060000000008</v>
      </c>
      <c r="Q17" s="8"/>
      <c r="R17" s="15">
        <f t="shared" si="15"/>
        <v>24.159850000000002</v>
      </c>
      <c r="S17" s="16">
        <f t="shared" si="16"/>
        <v>38.044270000000012</v>
      </c>
      <c r="T17" s="16">
        <f t="shared" si="17"/>
        <v>61.556660000000015</v>
      </c>
      <c r="U17" s="17">
        <f t="shared" si="18"/>
        <v>69.206280000000007</v>
      </c>
      <c r="W17" s="12" t="str">
        <f t="shared" si="19"/>
        <v>N/A</v>
      </c>
      <c r="X17" s="13" t="str">
        <f t="shared" si="20"/>
        <v>N/A</v>
      </c>
      <c r="Y17" s="13" t="str">
        <f t="shared" si="21"/>
        <v>N/A</v>
      </c>
      <c r="Z17" s="14" t="str">
        <f t="shared" si="22"/>
        <v>N/A</v>
      </c>
      <c r="AA17" s="8"/>
      <c r="AB17" s="15" t="str">
        <f t="shared" si="23"/>
        <v>N/A</v>
      </c>
      <c r="AC17" s="16" t="str">
        <f t="shared" si="24"/>
        <v>N/A</v>
      </c>
      <c r="AD17" s="16" t="str">
        <f t="shared" si="25"/>
        <v>N/A</v>
      </c>
      <c r="AE17" s="17" t="str">
        <f t="shared" si="26"/>
        <v>N/A</v>
      </c>
      <c r="AF17" s="88"/>
      <c r="AG17" s="12">
        <f t="shared" si="27"/>
        <v>28.6</v>
      </c>
      <c r="AH17" s="13">
        <f t="shared" si="27"/>
        <v>47.3</v>
      </c>
      <c r="AI17" s="13">
        <f t="shared" si="27"/>
        <v>96.7</v>
      </c>
      <c r="AJ17" s="114">
        <f t="shared" si="27"/>
        <v>113.1</v>
      </c>
      <c r="AK17" s="108"/>
      <c r="AL17" s="115">
        <f t="shared" si="28"/>
        <v>43.8</v>
      </c>
      <c r="AM17" s="16">
        <f t="shared" si="28"/>
        <v>69.099999999999994</v>
      </c>
      <c r="AN17" s="16">
        <f t="shared" si="28"/>
        <v>111.8</v>
      </c>
      <c r="AO17" s="17">
        <f t="shared" si="28"/>
        <v>125.7</v>
      </c>
      <c r="AP17" s="88"/>
      <c r="AS17" s="32"/>
      <c r="AT17" s="56"/>
      <c r="AU17" s="56"/>
      <c r="AV17" s="56"/>
      <c r="AW17" s="56"/>
      <c r="AX17" s="56"/>
      <c r="AY17" s="56"/>
      <c r="AZ17" s="56"/>
    </row>
    <row r="18" spans="1:52" ht="14.45" customHeight="1" x14ac:dyDescent="0.25">
      <c r="A18" s="222"/>
      <c r="B18" s="27" t="s">
        <v>26</v>
      </c>
      <c r="C18" s="112">
        <f t="shared" si="3"/>
        <v>13.189</v>
      </c>
      <c r="D18" s="113">
        <f t="shared" si="4"/>
        <v>26.0837</v>
      </c>
      <c r="E18" s="113">
        <f t="shared" si="5"/>
        <v>49.823900000000002</v>
      </c>
      <c r="F18" s="114">
        <f t="shared" si="6"/>
        <v>59.121600000000008</v>
      </c>
      <c r="G18" s="108"/>
      <c r="H18" s="115">
        <f t="shared" si="7"/>
        <v>20.1541</v>
      </c>
      <c r="I18" s="116">
        <f t="shared" si="8"/>
        <v>36.776600000000002</v>
      </c>
      <c r="J18" s="116">
        <f t="shared" si="9"/>
        <v>57.519300000000008</v>
      </c>
      <c r="K18" s="117">
        <f t="shared" si="10"/>
        <v>67.972400000000007</v>
      </c>
      <c r="L18" s="8"/>
      <c r="M18" s="12">
        <f t="shared" si="11"/>
        <v>17.409480000000002</v>
      </c>
      <c r="N18" s="13">
        <f t="shared" si="12"/>
        <v>34.435280000000006</v>
      </c>
      <c r="O18" s="13">
        <f t="shared" si="13"/>
        <v>65.76515000000002</v>
      </c>
      <c r="P18" s="14">
        <f t="shared" si="14"/>
        <v>78.042910000000006</v>
      </c>
      <c r="Q18" s="8"/>
      <c r="R18" s="15">
        <f t="shared" si="15"/>
        <v>26.605810000000005</v>
      </c>
      <c r="S18" s="16">
        <f t="shared" si="16"/>
        <v>48.54751000000001</v>
      </c>
      <c r="T18" s="16">
        <f t="shared" si="17"/>
        <v>75.920680000000004</v>
      </c>
      <c r="U18" s="17">
        <f t="shared" si="18"/>
        <v>89.721170000000015</v>
      </c>
      <c r="W18" s="12" t="str">
        <f t="shared" si="19"/>
        <v>N/A</v>
      </c>
      <c r="X18" s="13" t="str">
        <f t="shared" si="20"/>
        <v>N/A</v>
      </c>
      <c r="Y18" s="13" t="str">
        <f t="shared" si="21"/>
        <v>N/A</v>
      </c>
      <c r="Z18" s="14" t="str">
        <f t="shared" si="22"/>
        <v>N/A</v>
      </c>
      <c r="AA18" s="8"/>
      <c r="AB18" s="15" t="str">
        <f t="shared" si="23"/>
        <v>N/A</v>
      </c>
      <c r="AC18" s="16" t="str">
        <f t="shared" si="24"/>
        <v>N/A</v>
      </c>
      <c r="AD18" s="16" t="str">
        <f t="shared" si="25"/>
        <v>N/A</v>
      </c>
      <c r="AE18" s="17" t="str">
        <f t="shared" si="26"/>
        <v>N/A</v>
      </c>
      <c r="AF18" s="88"/>
      <c r="AG18" s="12">
        <f t="shared" si="27"/>
        <v>31.6</v>
      </c>
      <c r="AH18" s="13">
        <f t="shared" si="27"/>
        <v>62.5</v>
      </c>
      <c r="AI18" s="13">
        <f t="shared" si="27"/>
        <v>119.5</v>
      </c>
      <c r="AJ18" s="114">
        <f t="shared" si="27"/>
        <v>141.80000000000001</v>
      </c>
      <c r="AK18" s="108"/>
      <c r="AL18" s="115">
        <f t="shared" si="28"/>
        <v>48.2</v>
      </c>
      <c r="AM18" s="16">
        <f t="shared" si="28"/>
        <v>88.1</v>
      </c>
      <c r="AN18" s="16">
        <f t="shared" si="28"/>
        <v>137.9</v>
      </c>
      <c r="AO18" s="17">
        <f t="shared" si="28"/>
        <v>163</v>
      </c>
      <c r="AP18" s="88"/>
      <c r="AS18" s="32"/>
    </row>
    <row r="19" spans="1:52" ht="14.45" customHeight="1" x14ac:dyDescent="0.25">
      <c r="A19" s="222"/>
      <c r="B19" s="27" t="s">
        <v>27</v>
      </c>
      <c r="C19" s="112">
        <f t="shared" si="3"/>
        <v>13.210800000000001</v>
      </c>
      <c r="D19" s="113">
        <f t="shared" si="4"/>
        <v>30.770700000000001</v>
      </c>
      <c r="E19" s="113">
        <f t="shared" si="5"/>
        <v>55.993299999999998</v>
      </c>
      <c r="F19" s="114">
        <f t="shared" si="6"/>
        <v>65.203800000000001</v>
      </c>
      <c r="G19" s="108"/>
      <c r="H19" s="115">
        <f t="shared" si="7"/>
        <v>20.165000000000003</v>
      </c>
      <c r="I19" s="116">
        <f t="shared" si="8"/>
        <v>43.087700000000005</v>
      </c>
      <c r="J19" s="116">
        <f t="shared" si="9"/>
        <v>63.492500000000007</v>
      </c>
      <c r="K19" s="117">
        <f t="shared" si="10"/>
        <v>73.575000000000003</v>
      </c>
      <c r="L19" s="8"/>
      <c r="M19" s="12">
        <f t="shared" si="11"/>
        <v>17.43346</v>
      </c>
      <c r="N19" s="13">
        <f t="shared" si="12"/>
        <v>40.62212000000001</v>
      </c>
      <c r="O19" s="13">
        <f t="shared" si="13"/>
        <v>73.906360000000006</v>
      </c>
      <c r="P19" s="14">
        <f t="shared" si="14"/>
        <v>86.06422000000002</v>
      </c>
      <c r="Q19" s="8"/>
      <c r="R19" s="15">
        <f t="shared" si="15"/>
        <v>26.617800000000003</v>
      </c>
      <c r="S19" s="16">
        <f t="shared" si="16"/>
        <v>56.88056000000001</v>
      </c>
      <c r="T19" s="16">
        <f t="shared" si="17"/>
        <v>83.81010000000002</v>
      </c>
      <c r="U19" s="17">
        <f t="shared" si="18"/>
        <v>97.119000000000014</v>
      </c>
      <c r="W19" s="12" t="str">
        <f t="shared" si="19"/>
        <v>N/A</v>
      </c>
      <c r="X19" s="13" t="str">
        <f t="shared" si="20"/>
        <v>N/A</v>
      </c>
      <c r="Y19" s="13" t="str">
        <f t="shared" si="21"/>
        <v>N/A</v>
      </c>
      <c r="Z19" s="14" t="str">
        <f t="shared" si="22"/>
        <v>N/A</v>
      </c>
      <c r="AA19" s="8"/>
      <c r="AB19" s="15" t="str">
        <f t="shared" si="23"/>
        <v>N/A</v>
      </c>
      <c r="AC19" s="16" t="str">
        <f t="shared" si="24"/>
        <v>N/A</v>
      </c>
      <c r="AD19" s="16" t="str">
        <f t="shared" si="25"/>
        <v>N/A</v>
      </c>
      <c r="AE19" s="17" t="str">
        <f t="shared" si="26"/>
        <v>N/A</v>
      </c>
      <c r="AF19" s="88"/>
      <c r="AG19" s="112">
        <f t="shared" si="27"/>
        <v>31.6</v>
      </c>
      <c r="AH19" s="13">
        <f t="shared" si="27"/>
        <v>73.7</v>
      </c>
      <c r="AI19" s="13">
        <f t="shared" si="27"/>
        <v>134.19999999999999</v>
      </c>
      <c r="AJ19" s="114">
        <f t="shared" si="27"/>
        <v>156.4</v>
      </c>
      <c r="AK19" s="108"/>
      <c r="AL19" s="115">
        <f t="shared" si="28"/>
        <v>48.3</v>
      </c>
      <c r="AM19" s="16">
        <f t="shared" si="28"/>
        <v>103.3</v>
      </c>
      <c r="AN19" s="16">
        <f t="shared" si="28"/>
        <v>152.30000000000001</v>
      </c>
      <c r="AO19" s="17">
        <f t="shared" si="28"/>
        <v>176.5</v>
      </c>
      <c r="AP19" s="88"/>
      <c r="AS19" s="32"/>
      <c r="AT19" s="59"/>
      <c r="AU19" s="59"/>
      <c r="AV19" s="59"/>
      <c r="AW19" s="59"/>
      <c r="AX19" s="59"/>
      <c r="AY19" s="59"/>
      <c r="AZ19" s="59"/>
    </row>
    <row r="20" spans="1:52" ht="14.45" customHeight="1" thickBot="1" x14ac:dyDescent="0.3">
      <c r="A20" s="223"/>
      <c r="B20" s="27" t="s">
        <v>29</v>
      </c>
      <c r="C20" s="112" t="str">
        <f t="shared" si="3"/>
        <v>N/A</v>
      </c>
      <c r="D20" s="113">
        <f t="shared" si="4"/>
        <v>4.7541439999999993</v>
      </c>
      <c r="E20" s="113">
        <f t="shared" si="5"/>
        <v>7.9134000000000002</v>
      </c>
      <c r="F20" s="114">
        <f t="shared" si="6"/>
        <v>10.682000000000002</v>
      </c>
      <c r="G20" s="108"/>
      <c r="H20" s="115" t="str">
        <f t="shared" si="7"/>
        <v>N/A</v>
      </c>
      <c r="I20" s="116">
        <f t="shared" si="8"/>
        <v>5.5699000000000005</v>
      </c>
      <c r="J20" s="116">
        <f t="shared" si="9"/>
        <v>8.6546000000000003</v>
      </c>
      <c r="K20" s="117">
        <f t="shared" si="10"/>
        <v>11.5649</v>
      </c>
      <c r="L20" s="8"/>
      <c r="M20" s="12" t="str">
        <f t="shared" si="11"/>
        <v>N/A</v>
      </c>
      <c r="N20" s="13">
        <f t="shared" si="12"/>
        <v>5.407490000000001</v>
      </c>
      <c r="O20" s="13">
        <f t="shared" si="13"/>
        <v>10.443290000000003</v>
      </c>
      <c r="P20" s="14">
        <f t="shared" si="14"/>
        <v>14.100240000000001</v>
      </c>
      <c r="Q20" s="8"/>
      <c r="R20" s="15" t="str">
        <f t="shared" si="15"/>
        <v>N/A</v>
      </c>
      <c r="S20" s="16">
        <f t="shared" si="16"/>
        <v>7.349870000000001</v>
      </c>
      <c r="T20" s="16">
        <f t="shared" si="17"/>
        <v>11.426470000000002</v>
      </c>
      <c r="U20" s="17">
        <f t="shared" si="18"/>
        <v>15.263270000000004</v>
      </c>
      <c r="W20" s="12" t="str">
        <f t="shared" si="19"/>
        <v>N/A</v>
      </c>
      <c r="X20" s="13" t="str">
        <f t="shared" si="20"/>
        <v>N/A</v>
      </c>
      <c r="Y20" s="13" t="str">
        <f t="shared" si="21"/>
        <v>N/A</v>
      </c>
      <c r="Z20" s="14" t="str">
        <f t="shared" si="22"/>
        <v>N/A</v>
      </c>
      <c r="AA20" s="8"/>
      <c r="AB20" s="15" t="str">
        <f t="shared" si="23"/>
        <v>N/A</v>
      </c>
      <c r="AC20" s="16" t="str">
        <f t="shared" si="24"/>
        <v>N/A</v>
      </c>
      <c r="AD20" s="16" t="str">
        <f t="shared" si="25"/>
        <v>N/A</v>
      </c>
      <c r="AE20" s="17" t="str">
        <f t="shared" si="26"/>
        <v>N/A</v>
      </c>
      <c r="AF20" s="88"/>
      <c r="AG20" s="112" t="s">
        <v>118</v>
      </c>
      <c r="AH20" s="13">
        <f>ROUNDDOWN(AH12*$C$14,1)</f>
        <v>11.3</v>
      </c>
      <c r="AI20" s="13">
        <f>ROUNDDOWN(AI12*$C$14,1)</f>
        <v>18.899999999999999</v>
      </c>
      <c r="AJ20" s="114">
        <f>ROUNDDOWN(AJ12*$C$14,1)</f>
        <v>25.6</v>
      </c>
      <c r="AK20" s="108"/>
      <c r="AL20" s="115" t="s">
        <v>118</v>
      </c>
      <c r="AM20" s="16">
        <f>ROUNDDOWN(AM12*$C$14,1)</f>
        <v>13.2</v>
      </c>
      <c r="AN20" s="16">
        <f>ROUNDDOWN(AN12*$C$14,1)</f>
        <v>20.7</v>
      </c>
      <c r="AO20" s="17">
        <f>ROUNDDOWN(AO12*$C$14,1)</f>
        <v>27.6</v>
      </c>
      <c r="AP20" s="88"/>
      <c r="AS20" s="32"/>
      <c r="AT20" s="59"/>
      <c r="AU20" s="59"/>
      <c r="AV20" s="59"/>
      <c r="AW20" s="59"/>
      <c r="AX20" s="59"/>
      <c r="AY20" s="59"/>
      <c r="AZ20" s="59"/>
    </row>
    <row r="21" spans="1:52" ht="5.0999999999999996" customHeight="1" thickBot="1" x14ac:dyDescent="0.3"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W21" s="8"/>
      <c r="X21" s="8"/>
      <c r="Y21" s="8"/>
      <c r="Z21" s="8"/>
      <c r="AA21" s="8"/>
      <c r="AB21" s="8"/>
      <c r="AC21" s="8"/>
      <c r="AD21" s="8"/>
      <c r="AE21" s="8"/>
      <c r="AF21" s="89"/>
      <c r="AG21" s="108"/>
      <c r="AH21" s="108"/>
      <c r="AI21" s="108"/>
      <c r="AJ21" s="108"/>
      <c r="AK21" s="108"/>
      <c r="AL21" s="108"/>
      <c r="AM21" s="108"/>
      <c r="AN21" s="108"/>
      <c r="AO21" s="108"/>
      <c r="AP21" s="89"/>
    </row>
    <row r="22" spans="1:52" ht="15.75" thickBot="1" x14ac:dyDescent="0.3">
      <c r="B22" s="28" t="s">
        <v>119</v>
      </c>
      <c r="C22" s="31">
        <v>2.38</v>
      </c>
      <c r="D22" s="28"/>
      <c r="E22" s="28"/>
      <c r="F22" s="28"/>
      <c r="G22" s="28"/>
      <c r="H22" s="31">
        <v>2.38</v>
      </c>
      <c r="I22" s="28"/>
      <c r="J22" s="28"/>
      <c r="K22" s="28"/>
      <c r="L22" s="28"/>
      <c r="M22" s="31">
        <v>2.38</v>
      </c>
      <c r="N22" s="28"/>
      <c r="O22" s="28"/>
      <c r="P22" s="28"/>
      <c r="Q22" s="28"/>
      <c r="R22" s="31">
        <v>2.38</v>
      </c>
      <c r="T22" s="8"/>
      <c r="U22" s="8"/>
      <c r="W22" s="31">
        <v>2.1800000000000002</v>
      </c>
      <c r="X22" s="28"/>
      <c r="Y22" s="28"/>
      <c r="Z22" s="28"/>
      <c r="AA22" s="28"/>
      <c r="AB22" s="31">
        <v>2.1800000000000002</v>
      </c>
      <c r="AD22" s="8"/>
      <c r="AE22" s="8"/>
      <c r="AF22" s="89"/>
      <c r="AG22" s="108"/>
      <c r="AH22" s="108"/>
      <c r="AI22" s="108"/>
      <c r="AJ22" s="108"/>
      <c r="AN22" s="108"/>
      <c r="AO22" s="108"/>
      <c r="AP22" s="89"/>
    </row>
    <row r="23" spans="1:52" ht="14.45" customHeight="1" x14ac:dyDescent="0.25">
      <c r="A23" s="221" t="s">
        <v>121</v>
      </c>
      <c r="B23" s="26" t="s">
        <v>23</v>
      </c>
      <c r="C23" s="105">
        <f t="shared" ref="C23:C28" si="29">IFERROR(C7*C$22,"N/A")</f>
        <v>22.538599999999999</v>
      </c>
      <c r="D23" s="106">
        <f t="shared" ref="D23:D28" si="30">IFERROR(D7*C$22,"N/A")</f>
        <v>28.4648</v>
      </c>
      <c r="E23" s="106">
        <f t="shared" ref="E23:E28" si="31">IFERROR(E7*C$22,"N/A")</f>
        <v>59.928399999999996</v>
      </c>
      <c r="F23" s="107">
        <f t="shared" ref="F23:F28" si="32">IFERROR(F7*C$22,"N/A")</f>
        <v>68.972399999999993</v>
      </c>
      <c r="G23" s="108"/>
      <c r="H23" s="109">
        <f t="shared" ref="H23:H28" si="33">IFERROR(H7*H$22,"N/A")</f>
        <v>34.438600000000001</v>
      </c>
      <c r="I23" s="110">
        <f t="shared" ref="I23:I28" si="34">IFERROR(I7*H$22,"N/A")</f>
        <v>46.885999999999996</v>
      </c>
      <c r="J23" s="110">
        <f t="shared" ref="J23:J28" si="35">IFERROR(J7*H$22,"N/A")</f>
        <v>74.327399999999997</v>
      </c>
      <c r="K23" s="111">
        <f t="shared" ref="K23:K28" si="36">IFERROR(K7*H$22,"N/A")</f>
        <v>82.181399999999996</v>
      </c>
      <c r="L23" s="8"/>
      <c r="M23" s="5">
        <f t="shared" ref="M23:M28" si="37">IFERROR(M7*M$22,"N/A")</f>
        <v>29.740479999999998</v>
      </c>
      <c r="N23" s="6">
        <f t="shared" ref="N23:N28" si="38">IFERROR(N7*M$22,"N/A")</f>
        <v>37.568300000000001</v>
      </c>
      <c r="O23" s="6">
        <f t="shared" ref="O23:O28" si="39">IFERROR(O7*M$22,"N/A")</f>
        <v>79.115960000000001</v>
      </c>
      <c r="P23" s="7">
        <f t="shared" ref="P23:P28" si="40">IFERROR(P7*M$22,"N/A")</f>
        <v>91.054040000000001</v>
      </c>
      <c r="Q23" s="8"/>
      <c r="R23" s="9">
        <f t="shared" ref="R23:R28" si="41">IFERROR(R7*R$22,"N/A")</f>
        <v>45.448479999999996</v>
      </c>
      <c r="S23" s="10">
        <f t="shared" ref="S23:S28" si="42">IFERROR(S7*R$22,"N/A")</f>
        <v>61.889519999999997</v>
      </c>
      <c r="T23" s="10">
        <f t="shared" ref="T23:T28" si="43">IFERROR(T7*R$22,"N/A")</f>
        <v>98.122640000000004</v>
      </c>
      <c r="U23" s="11">
        <f t="shared" ref="U23:U28" si="44">IFERROR(U7*R$22,"N/A")</f>
        <v>108.48992</v>
      </c>
      <c r="W23" s="5" t="str">
        <f t="shared" ref="W23:W28" si="45">IFERROR(W7*W$22,"N/A")</f>
        <v>N/A</v>
      </c>
      <c r="X23" s="6" t="str">
        <f t="shared" ref="X23:X28" si="46">IFERROR(X7*W$22,"N/A")</f>
        <v>N/A</v>
      </c>
      <c r="Y23" s="6" t="str">
        <f t="shared" ref="Y23:Y28" si="47">IFERROR(Y7*W$22,"N/A")</f>
        <v>N/A</v>
      </c>
      <c r="Z23" s="7" t="str">
        <f t="shared" ref="Z23:Z28" si="48">IFERROR(Z7*W$22,"N/A")</f>
        <v>N/A</v>
      </c>
      <c r="AA23" s="8"/>
      <c r="AB23" s="9" t="str">
        <f t="shared" ref="AB23:AB28" si="49">IFERROR(AB7*AB$22,"N/A")</f>
        <v>N/A</v>
      </c>
      <c r="AC23" s="10" t="str">
        <f t="shared" ref="AC23:AC28" si="50">IFERROR(AC7*AB$22,"N/A")</f>
        <v>N/A</v>
      </c>
      <c r="AD23" s="10" t="str">
        <f t="shared" ref="AD23:AD28" si="51">IFERROR(AD7*AB$22,"N/A")</f>
        <v>N/A</v>
      </c>
      <c r="AE23" s="11" t="str">
        <f t="shared" ref="AE23:AE28" si="52">IFERROR(AE7*AB$22,"N/A")</f>
        <v>N/A</v>
      </c>
      <c r="AF23" s="88"/>
      <c r="AG23" s="5">
        <f t="shared" ref="AG23:AJ27" si="53">ROUNDDOWN(AG7*$C$22,1)</f>
        <v>54</v>
      </c>
      <c r="AH23" s="6">
        <f t="shared" si="53"/>
        <v>68.3</v>
      </c>
      <c r="AI23" s="6">
        <f t="shared" si="53"/>
        <v>143.69999999999999</v>
      </c>
      <c r="AJ23" s="107">
        <f t="shared" si="53"/>
        <v>165.4</v>
      </c>
      <c r="AK23" s="108"/>
      <c r="AL23" s="109">
        <f t="shared" ref="AL23:AO27" si="54">ROUNDDOWN(AL7*$C$22,1)</f>
        <v>82.5</v>
      </c>
      <c r="AM23" s="10">
        <f t="shared" si="54"/>
        <v>112.3</v>
      </c>
      <c r="AN23" s="10">
        <f t="shared" si="54"/>
        <v>178.2</v>
      </c>
      <c r="AO23" s="11">
        <f t="shared" si="54"/>
        <v>197</v>
      </c>
      <c r="AP23" s="88"/>
    </row>
    <row r="24" spans="1:52" ht="14.45" customHeight="1" x14ac:dyDescent="0.25">
      <c r="A24" s="222"/>
      <c r="B24" s="27" t="s">
        <v>24</v>
      </c>
      <c r="C24" s="112">
        <f t="shared" si="29"/>
        <v>23.657199999999996</v>
      </c>
      <c r="D24" s="113">
        <f t="shared" si="30"/>
        <v>36.6282</v>
      </c>
      <c r="E24" s="113">
        <f t="shared" si="31"/>
        <v>72.161599999999993</v>
      </c>
      <c r="F24" s="114">
        <f t="shared" si="32"/>
        <v>83.4666</v>
      </c>
      <c r="G24" s="108"/>
      <c r="H24" s="115">
        <f t="shared" si="33"/>
        <v>36.175999999999995</v>
      </c>
      <c r="I24" s="116">
        <f t="shared" si="34"/>
        <v>56.120399999999997</v>
      </c>
      <c r="J24" s="116">
        <f t="shared" si="35"/>
        <v>82.80019999999999</v>
      </c>
      <c r="K24" s="117">
        <f t="shared" si="36"/>
        <v>98.841399999999993</v>
      </c>
      <c r="L24" s="8"/>
      <c r="M24" s="12">
        <f t="shared" si="37"/>
        <v>31.23274</v>
      </c>
      <c r="N24" s="13">
        <f t="shared" si="38"/>
        <v>48.354459999999996</v>
      </c>
      <c r="O24" s="13">
        <f t="shared" si="39"/>
        <v>95.242840000000015</v>
      </c>
      <c r="P24" s="14">
        <f t="shared" si="40"/>
        <v>110.16544</v>
      </c>
      <c r="Q24" s="8"/>
      <c r="R24" s="15">
        <f t="shared" si="41"/>
        <v>47.752319999999997</v>
      </c>
      <c r="S24" s="16">
        <f t="shared" si="42"/>
        <v>74.089399999999998</v>
      </c>
      <c r="T24" s="16">
        <f t="shared" si="43"/>
        <v>109.3015</v>
      </c>
      <c r="U24" s="17">
        <f t="shared" si="44"/>
        <v>130.48112</v>
      </c>
      <c r="W24" s="12" t="str">
        <f t="shared" si="45"/>
        <v>N/A</v>
      </c>
      <c r="X24" s="13" t="str">
        <f t="shared" si="46"/>
        <v>N/A</v>
      </c>
      <c r="Y24" s="13" t="str">
        <f t="shared" si="47"/>
        <v>N/A</v>
      </c>
      <c r="Z24" s="14" t="str">
        <f t="shared" si="48"/>
        <v>N/A</v>
      </c>
      <c r="AA24" s="8"/>
      <c r="AB24" s="15" t="str">
        <f t="shared" si="49"/>
        <v>N/A</v>
      </c>
      <c r="AC24" s="16" t="str">
        <f t="shared" si="50"/>
        <v>N/A</v>
      </c>
      <c r="AD24" s="16" t="str">
        <f t="shared" si="51"/>
        <v>N/A</v>
      </c>
      <c r="AE24" s="17" t="str">
        <f t="shared" si="52"/>
        <v>N/A</v>
      </c>
      <c r="AF24" s="88"/>
      <c r="AG24" s="12">
        <f t="shared" si="53"/>
        <v>56.6</v>
      </c>
      <c r="AH24" s="13">
        <f t="shared" si="53"/>
        <v>87.8</v>
      </c>
      <c r="AI24" s="13">
        <f t="shared" si="53"/>
        <v>173</v>
      </c>
      <c r="AJ24" s="114">
        <f t="shared" si="53"/>
        <v>200.1</v>
      </c>
      <c r="AK24" s="108"/>
      <c r="AL24" s="115">
        <f t="shared" si="54"/>
        <v>86.6</v>
      </c>
      <c r="AM24" s="16">
        <f t="shared" si="54"/>
        <v>134.4</v>
      </c>
      <c r="AN24" s="16">
        <f t="shared" si="54"/>
        <v>198.4</v>
      </c>
      <c r="AO24" s="17">
        <f t="shared" si="54"/>
        <v>237</v>
      </c>
      <c r="AP24" s="88"/>
    </row>
    <row r="25" spans="1:52" ht="14.45" customHeight="1" x14ac:dyDescent="0.25">
      <c r="A25" s="222"/>
      <c r="B25" s="27" t="s">
        <v>25</v>
      </c>
      <c r="C25" s="112">
        <f t="shared" si="29"/>
        <v>26.108599999999999</v>
      </c>
      <c r="D25" s="113">
        <f t="shared" si="30"/>
        <v>43.125599999999999</v>
      </c>
      <c r="E25" s="113">
        <f t="shared" si="31"/>
        <v>88.083799999999997</v>
      </c>
      <c r="F25" s="114">
        <f t="shared" si="32"/>
        <v>103.0064</v>
      </c>
      <c r="G25" s="108"/>
      <c r="H25" s="115">
        <f t="shared" si="33"/>
        <v>39.960199999999993</v>
      </c>
      <c r="I25" s="116">
        <f t="shared" si="34"/>
        <v>62.927199999999999</v>
      </c>
      <c r="J25" s="116">
        <f t="shared" si="35"/>
        <v>101.8164</v>
      </c>
      <c r="K25" s="117">
        <f t="shared" si="36"/>
        <v>114.47799999999999</v>
      </c>
      <c r="L25" s="8"/>
      <c r="M25" s="12">
        <f t="shared" si="37"/>
        <v>34.45288</v>
      </c>
      <c r="N25" s="13">
        <f t="shared" si="38"/>
        <v>56.915320000000001</v>
      </c>
      <c r="O25" s="13">
        <f t="shared" si="39"/>
        <v>116.26537999999999</v>
      </c>
      <c r="P25" s="14">
        <f t="shared" si="40"/>
        <v>135.97891999999999</v>
      </c>
      <c r="Q25" s="8"/>
      <c r="R25" s="15">
        <f t="shared" si="41"/>
        <v>52.752699999999997</v>
      </c>
      <c r="S25" s="16">
        <f t="shared" si="42"/>
        <v>83.069140000000004</v>
      </c>
      <c r="T25" s="16">
        <f t="shared" si="43"/>
        <v>134.40812000000003</v>
      </c>
      <c r="U25" s="17">
        <f t="shared" si="44"/>
        <v>151.11096000000001</v>
      </c>
      <c r="W25" s="12" t="str">
        <f t="shared" si="45"/>
        <v>N/A</v>
      </c>
      <c r="X25" s="13" t="str">
        <f t="shared" si="46"/>
        <v>N/A</v>
      </c>
      <c r="Y25" s="13" t="str">
        <f t="shared" si="47"/>
        <v>N/A</v>
      </c>
      <c r="Z25" s="14" t="str">
        <f t="shared" si="48"/>
        <v>N/A</v>
      </c>
      <c r="AA25" s="8"/>
      <c r="AB25" s="15" t="str">
        <f t="shared" si="49"/>
        <v>N/A</v>
      </c>
      <c r="AC25" s="16" t="str">
        <f t="shared" si="50"/>
        <v>N/A</v>
      </c>
      <c r="AD25" s="16" t="str">
        <f t="shared" si="51"/>
        <v>N/A</v>
      </c>
      <c r="AE25" s="17" t="str">
        <f t="shared" si="52"/>
        <v>N/A</v>
      </c>
      <c r="AF25" s="88"/>
      <c r="AG25" s="12">
        <f t="shared" si="53"/>
        <v>62.5</v>
      </c>
      <c r="AH25" s="13">
        <f t="shared" si="53"/>
        <v>103.2</v>
      </c>
      <c r="AI25" s="13">
        <f t="shared" si="53"/>
        <v>211.3</v>
      </c>
      <c r="AJ25" s="114">
        <f t="shared" si="53"/>
        <v>247</v>
      </c>
      <c r="AK25" s="108"/>
      <c r="AL25" s="115">
        <f t="shared" si="54"/>
        <v>95.6</v>
      </c>
      <c r="AM25" s="16">
        <f t="shared" si="54"/>
        <v>150.80000000000001</v>
      </c>
      <c r="AN25" s="16">
        <f t="shared" si="54"/>
        <v>244.1</v>
      </c>
      <c r="AO25" s="17">
        <f t="shared" si="54"/>
        <v>274.60000000000002</v>
      </c>
      <c r="AP25" s="88"/>
    </row>
    <row r="26" spans="1:52" ht="14.45" customHeight="1" x14ac:dyDescent="0.25">
      <c r="A26" s="222"/>
      <c r="B26" s="27" t="s">
        <v>26</v>
      </c>
      <c r="C26" s="112">
        <f t="shared" si="29"/>
        <v>28.797999999999998</v>
      </c>
      <c r="D26" s="113">
        <f t="shared" si="30"/>
        <v>56.953399999999995</v>
      </c>
      <c r="E26" s="113">
        <f t="shared" si="31"/>
        <v>108.7898</v>
      </c>
      <c r="F26" s="114">
        <f t="shared" si="32"/>
        <v>129.09119999999999</v>
      </c>
      <c r="G26" s="108"/>
      <c r="H26" s="115">
        <f t="shared" si="33"/>
        <v>44.006199999999993</v>
      </c>
      <c r="I26" s="116">
        <f t="shared" si="34"/>
        <v>80.301199999999994</v>
      </c>
      <c r="J26" s="116">
        <f t="shared" si="35"/>
        <v>125.5926</v>
      </c>
      <c r="K26" s="117">
        <f t="shared" si="36"/>
        <v>148.41679999999999</v>
      </c>
      <c r="L26" s="8"/>
      <c r="M26" s="12">
        <f t="shared" si="37"/>
        <v>38.013359999999999</v>
      </c>
      <c r="N26" s="13">
        <f t="shared" si="38"/>
        <v>75.188960000000009</v>
      </c>
      <c r="O26" s="13">
        <f t="shared" si="39"/>
        <v>143.59730000000002</v>
      </c>
      <c r="P26" s="14">
        <f t="shared" si="40"/>
        <v>170.40562</v>
      </c>
      <c r="Q26" s="8"/>
      <c r="R26" s="15">
        <f t="shared" si="41"/>
        <v>58.093420000000002</v>
      </c>
      <c r="S26" s="16">
        <f t="shared" si="42"/>
        <v>106.00282000000001</v>
      </c>
      <c r="T26" s="16">
        <f t="shared" si="43"/>
        <v>165.77176</v>
      </c>
      <c r="U26" s="17">
        <f t="shared" si="44"/>
        <v>195.90494000000001</v>
      </c>
      <c r="W26" s="12" t="str">
        <f t="shared" si="45"/>
        <v>N/A</v>
      </c>
      <c r="X26" s="13" t="str">
        <f t="shared" si="46"/>
        <v>N/A</v>
      </c>
      <c r="Y26" s="13" t="str">
        <f t="shared" si="47"/>
        <v>N/A</v>
      </c>
      <c r="Z26" s="14" t="str">
        <f t="shared" si="48"/>
        <v>N/A</v>
      </c>
      <c r="AA26" s="8"/>
      <c r="AB26" s="15" t="str">
        <f t="shared" si="49"/>
        <v>N/A</v>
      </c>
      <c r="AC26" s="16" t="str">
        <f t="shared" si="50"/>
        <v>N/A</v>
      </c>
      <c r="AD26" s="16" t="str">
        <f t="shared" si="51"/>
        <v>N/A</v>
      </c>
      <c r="AE26" s="17" t="str">
        <f t="shared" si="52"/>
        <v>N/A</v>
      </c>
      <c r="AF26" s="88"/>
      <c r="AG26" s="12">
        <f t="shared" si="53"/>
        <v>69</v>
      </c>
      <c r="AH26" s="13">
        <f t="shared" si="53"/>
        <v>136.6</v>
      </c>
      <c r="AI26" s="13">
        <f t="shared" si="53"/>
        <v>261</v>
      </c>
      <c r="AJ26" s="114">
        <f t="shared" si="53"/>
        <v>309.60000000000002</v>
      </c>
      <c r="AK26" s="108"/>
      <c r="AL26" s="115">
        <f t="shared" si="54"/>
        <v>105.4</v>
      </c>
      <c r="AM26" s="16">
        <f t="shared" si="54"/>
        <v>192.5</v>
      </c>
      <c r="AN26" s="16">
        <f t="shared" si="54"/>
        <v>301.3</v>
      </c>
      <c r="AO26" s="17">
        <f t="shared" si="54"/>
        <v>356</v>
      </c>
      <c r="AP26" s="88"/>
      <c r="AQ26" s="37"/>
      <c r="AR26" s="37"/>
    </row>
    <row r="27" spans="1:52" ht="14.45" customHeight="1" x14ac:dyDescent="0.25">
      <c r="A27" s="222"/>
      <c r="B27" s="27" t="s">
        <v>27</v>
      </c>
      <c r="C27" s="112">
        <f t="shared" si="29"/>
        <v>28.845599999999997</v>
      </c>
      <c r="D27" s="113">
        <f t="shared" si="30"/>
        <v>67.187399999999997</v>
      </c>
      <c r="E27" s="113">
        <f t="shared" si="31"/>
        <v>122.26059999999998</v>
      </c>
      <c r="F27" s="114">
        <f t="shared" si="32"/>
        <v>142.3716</v>
      </c>
      <c r="G27" s="108"/>
      <c r="H27" s="115">
        <f t="shared" si="33"/>
        <v>44.03</v>
      </c>
      <c r="I27" s="116">
        <f t="shared" si="34"/>
        <v>94.081400000000002</v>
      </c>
      <c r="J27" s="116">
        <f t="shared" si="35"/>
        <v>138.63499999999999</v>
      </c>
      <c r="K27" s="117">
        <f t="shared" si="36"/>
        <v>160.65</v>
      </c>
      <c r="L27" s="8"/>
      <c r="M27" s="12">
        <f t="shared" si="37"/>
        <v>38.065719999999999</v>
      </c>
      <c r="N27" s="13">
        <f t="shared" si="38"/>
        <v>88.697840000000014</v>
      </c>
      <c r="O27" s="13">
        <f t="shared" si="39"/>
        <v>161.37351999999998</v>
      </c>
      <c r="P27" s="14">
        <f t="shared" si="40"/>
        <v>187.92004000000003</v>
      </c>
      <c r="Q27" s="8"/>
      <c r="R27" s="15">
        <f t="shared" si="41"/>
        <v>58.119599999999998</v>
      </c>
      <c r="S27" s="16">
        <f t="shared" si="42"/>
        <v>124.19792000000001</v>
      </c>
      <c r="T27" s="16">
        <f t="shared" si="43"/>
        <v>182.99820000000003</v>
      </c>
      <c r="U27" s="17">
        <f t="shared" si="44"/>
        <v>212.05800000000002</v>
      </c>
      <c r="W27" s="12" t="str">
        <f t="shared" si="45"/>
        <v>N/A</v>
      </c>
      <c r="X27" s="13" t="str">
        <f t="shared" si="46"/>
        <v>N/A</v>
      </c>
      <c r="Y27" s="13" t="str">
        <f t="shared" si="47"/>
        <v>N/A</v>
      </c>
      <c r="Z27" s="14" t="str">
        <f t="shared" si="48"/>
        <v>N/A</v>
      </c>
      <c r="AA27" s="8"/>
      <c r="AB27" s="15" t="str">
        <f t="shared" si="49"/>
        <v>N/A</v>
      </c>
      <c r="AC27" s="16" t="str">
        <f t="shared" si="50"/>
        <v>N/A</v>
      </c>
      <c r="AD27" s="16" t="str">
        <f t="shared" si="51"/>
        <v>N/A</v>
      </c>
      <c r="AE27" s="17" t="str">
        <f t="shared" si="52"/>
        <v>N/A</v>
      </c>
      <c r="AF27" s="88"/>
      <c r="AG27" s="112">
        <f t="shared" si="53"/>
        <v>69</v>
      </c>
      <c r="AH27" s="13">
        <f t="shared" si="53"/>
        <v>161.1</v>
      </c>
      <c r="AI27" s="13">
        <f t="shared" si="53"/>
        <v>293.2</v>
      </c>
      <c r="AJ27" s="114">
        <f t="shared" si="53"/>
        <v>341.5</v>
      </c>
      <c r="AK27" s="108"/>
      <c r="AL27" s="115">
        <f t="shared" si="54"/>
        <v>105.6</v>
      </c>
      <c r="AM27" s="16">
        <f t="shared" si="54"/>
        <v>225.6</v>
      </c>
      <c r="AN27" s="16">
        <f t="shared" si="54"/>
        <v>332.7</v>
      </c>
      <c r="AO27" s="17">
        <f t="shared" si="54"/>
        <v>385.5</v>
      </c>
      <c r="AP27" s="88"/>
    </row>
    <row r="28" spans="1:52" ht="14.45" customHeight="1" thickBot="1" x14ac:dyDescent="0.3">
      <c r="A28" s="223"/>
      <c r="B28" s="27" t="s">
        <v>29</v>
      </c>
      <c r="C28" s="112" t="str">
        <f t="shared" si="29"/>
        <v>N/A</v>
      </c>
      <c r="D28" s="113">
        <f t="shared" si="30"/>
        <v>10.380607999999997</v>
      </c>
      <c r="E28" s="113">
        <f t="shared" si="31"/>
        <v>17.2788</v>
      </c>
      <c r="F28" s="114">
        <f t="shared" si="32"/>
        <v>23.324000000000002</v>
      </c>
      <c r="G28" s="108"/>
      <c r="H28" s="115" t="str">
        <f t="shared" si="33"/>
        <v>N/A</v>
      </c>
      <c r="I28" s="116">
        <f t="shared" si="34"/>
        <v>12.161799999999999</v>
      </c>
      <c r="J28" s="116">
        <f t="shared" si="35"/>
        <v>18.897200000000002</v>
      </c>
      <c r="K28" s="117">
        <f t="shared" si="36"/>
        <v>25.251799999999996</v>
      </c>
      <c r="L28" s="8"/>
      <c r="M28" s="12" t="str">
        <f t="shared" si="37"/>
        <v>N/A</v>
      </c>
      <c r="N28" s="13">
        <f t="shared" si="38"/>
        <v>11.807180000000001</v>
      </c>
      <c r="O28" s="13">
        <f t="shared" si="39"/>
        <v>22.802780000000002</v>
      </c>
      <c r="P28" s="14">
        <f t="shared" si="40"/>
        <v>30.787679999999998</v>
      </c>
      <c r="Q28" s="8"/>
      <c r="R28" s="15" t="str">
        <f t="shared" si="41"/>
        <v>N/A</v>
      </c>
      <c r="S28" s="16">
        <f t="shared" si="42"/>
        <v>16.04834</v>
      </c>
      <c r="T28" s="16">
        <f t="shared" si="43"/>
        <v>24.949539999999999</v>
      </c>
      <c r="U28" s="17">
        <f t="shared" si="44"/>
        <v>33.32714</v>
      </c>
      <c r="W28" s="12" t="str">
        <f t="shared" si="45"/>
        <v>N/A</v>
      </c>
      <c r="X28" s="13" t="str">
        <f t="shared" si="46"/>
        <v>N/A</v>
      </c>
      <c r="Y28" s="13" t="str">
        <f t="shared" si="47"/>
        <v>N/A</v>
      </c>
      <c r="Z28" s="14" t="str">
        <f t="shared" si="48"/>
        <v>N/A</v>
      </c>
      <c r="AA28" s="8"/>
      <c r="AB28" s="15" t="str">
        <f t="shared" si="49"/>
        <v>N/A</v>
      </c>
      <c r="AC28" s="16" t="str">
        <f t="shared" si="50"/>
        <v>N/A</v>
      </c>
      <c r="AD28" s="16" t="str">
        <f t="shared" si="51"/>
        <v>N/A</v>
      </c>
      <c r="AE28" s="17" t="str">
        <f t="shared" si="52"/>
        <v>N/A</v>
      </c>
      <c r="AF28" s="88"/>
      <c r="AG28" s="112" t="s">
        <v>118</v>
      </c>
      <c r="AH28" s="13">
        <f>ROUNDDOWN(AH12*$C$22,1)</f>
        <v>24.7</v>
      </c>
      <c r="AI28" s="13">
        <f>ROUNDDOWN(AI12*$C$22,1)</f>
        <v>41.4</v>
      </c>
      <c r="AJ28" s="114">
        <f>ROUNDDOWN(AJ12*$C$22,1)</f>
        <v>55.9</v>
      </c>
      <c r="AK28" s="108"/>
      <c r="AL28" s="115" t="s">
        <v>118</v>
      </c>
      <c r="AM28" s="16">
        <f>ROUNDDOWN(AM12*$C$22,1)</f>
        <v>29</v>
      </c>
      <c r="AN28" s="16">
        <f>ROUNDDOWN(AN12*$C$22,1)</f>
        <v>45.2</v>
      </c>
      <c r="AO28" s="17">
        <f>ROUNDDOWN(AO12*$C$22,1)</f>
        <v>60.4</v>
      </c>
      <c r="AP28" s="88"/>
    </row>
    <row r="29" spans="1:52" ht="5.0999999999999996" customHeight="1" thickBot="1" x14ac:dyDescent="0.3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W29" s="8"/>
      <c r="X29" s="8"/>
      <c r="Y29" s="8"/>
      <c r="Z29" s="8"/>
      <c r="AA29" s="8"/>
      <c r="AB29" s="8"/>
      <c r="AC29" s="8"/>
      <c r="AD29" s="8"/>
      <c r="AE29" s="8"/>
      <c r="AF29" s="89"/>
      <c r="AG29" s="108"/>
      <c r="AH29" s="108"/>
      <c r="AI29" s="108"/>
      <c r="AJ29" s="108"/>
      <c r="AK29" s="108"/>
      <c r="AL29" s="108"/>
      <c r="AM29" s="108"/>
      <c r="AN29" s="108"/>
      <c r="AO29" s="108"/>
      <c r="AP29" s="89"/>
    </row>
    <row r="30" spans="1:52" ht="15.75" thickBot="1" x14ac:dyDescent="0.3">
      <c r="B30" s="28" t="s">
        <v>119</v>
      </c>
      <c r="C30" s="29">
        <v>4.3600000000000003</v>
      </c>
      <c r="D30" s="28"/>
      <c r="E30" s="28"/>
      <c r="F30" s="28"/>
      <c r="G30" s="28"/>
      <c r="H30" s="29">
        <v>4.3600000000000003</v>
      </c>
      <c r="I30" s="28"/>
      <c r="J30" s="28"/>
      <c r="K30" s="28"/>
      <c r="L30" s="28"/>
      <c r="M30" s="29">
        <v>4.3600000000000003</v>
      </c>
      <c r="N30" s="28"/>
      <c r="O30" s="28"/>
      <c r="P30" s="28"/>
      <c r="Q30" s="28"/>
      <c r="R30" s="29">
        <v>4.3600000000000003</v>
      </c>
      <c r="T30" s="8"/>
      <c r="U30" s="8"/>
      <c r="W30" s="29">
        <v>4.3600000000000003</v>
      </c>
      <c r="X30" s="28"/>
      <c r="Y30" s="28"/>
      <c r="Z30" s="28"/>
      <c r="AA30" s="28"/>
      <c r="AB30" s="29">
        <v>4.3600000000000003</v>
      </c>
      <c r="AD30" s="8"/>
      <c r="AE30" s="8"/>
      <c r="AF30" s="89"/>
      <c r="AG30" s="108"/>
      <c r="AH30" s="108"/>
      <c r="AI30" s="108"/>
      <c r="AJ30" s="108"/>
      <c r="AK30" s="108"/>
      <c r="AN30" s="108"/>
      <c r="AO30" s="108"/>
      <c r="AP30" s="89"/>
    </row>
    <row r="31" spans="1:52" ht="14.45" customHeight="1" x14ac:dyDescent="0.25">
      <c r="A31" s="221" t="s">
        <v>122</v>
      </c>
      <c r="B31" s="26" t="s">
        <v>23</v>
      </c>
      <c r="C31" s="105">
        <f t="shared" ref="C31:C36" si="55">IFERROR(C7*C$30,"N/A")</f>
        <v>41.289200000000008</v>
      </c>
      <c r="D31" s="106">
        <f t="shared" ref="D31:D36" si="56">IFERROR(D7*C$30,"N/A")</f>
        <v>52.145600000000009</v>
      </c>
      <c r="E31" s="106">
        <f t="shared" ref="E31:E36" si="57">IFERROR(E7*C$30,"N/A")</f>
        <v>109.7848</v>
      </c>
      <c r="F31" s="107">
        <f t="shared" ref="F31:F36" si="58">IFERROR(F7*C$30,"N/A")</f>
        <v>126.35280000000002</v>
      </c>
      <c r="G31" s="108"/>
      <c r="H31" s="109">
        <f t="shared" ref="H31:H36" si="59">IFERROR(H7*H$30,"N/A")</f>
        <v>63.089200000000005</v>
      </c>
      <c r="I31" s="110">
        <f t="shared" ref="I31:I36" si="60">IFERROR(I7*H$30,"N/A")</f>
        <v>85.89200000000001</v>
      </c>
      <c r="J31" s="110">
        <f t="shared" ref="J31:J36" si="61">IFERROR(J7*H$30,"N/A")</f>
        <v>136.1628</v>
      </c>
      <c r="K31" s="111">
        <f t="shared" ref="K31:K36" si="62">IFERROR(K7*H$30,"N/A")</f>
        <v>150.55080000000001</v>
      </c>
      <c r="L31" s="8"/>
      <c r="M31" s="5">
        <f t="shared" ref="M31:M36" si="63">IFERROR(M7*M$30,"N/A")</f>
        <v>54.482560000000007</v>
      </c>
      <c r="N31" s="6">
        <f t="shared" ref="N31:N36" si="64">IFERROR(N7*M$30,"N/A")</f>
        <v>68.822600000000008</v>
      </c>
      <c r="O31" s="6">
        <f t="shared" ref="O31:O36" si="65">IFERROR(O7*M$30,"N/A")</f>
        <v>144.93512000000004</v>
      </c>
      <c r="P31" s="7">
        <f t="shared" ref="P31:P36" si="66">IFERROR(P7*M$30,"N/A")</f>
        <v>166.80488000000003</v>
      </c>
      <c r="Q31" s="8"/>
      <c r="R31" s="9">
        <f t="shared" ref="R31:R36" si="67">IFERROR(R7*R$30,"N/A")</f>
        <v>83.258560000000003</v>
      </c>
      <c r="S31" s="10">
        <f t="shared" ref="S31:S36" si="68">IFERROR(S7*R$30,"N/A")</f>
        <v>113.37744000000001</v>
      </c>
      <c r="T31" s="10">
        <f t="shared" ref="T31:T36" si="69">IFERROR(T7*R$30,"N/A")</f>
        <v>179.75408000000002</v>
      </c>
      <c r="U31" s="11">
        <f t="shared" ref="U31:U36" si="70">IFERROR(U7*R$30,"N/A")</f>
        <v>198.74624000000003</v>
      </c>
      <c r="W31" s="5" t="str">
        <f t="shared" ref="W31:W36" si="71">IFERROR(W7*W$30,"N/A")</f>
        <v>N/A</v>
      </c>
      <c r="X31" s="6" t="str">
        <f t="shared" ref="X31:X36" si="72">IFERROR(X7*W$30,"N/A")</f>
        <v>N/A</v>
      </c>
      <c r="Y31" s="6" t="str">
        <f t="shared" ref="Y31:Y36" si="73">IFERROR(Y7*W$30,"N/A")</f>
        <v>N/A</v>
      </c>
      <c r="Z31" s="7" t="str">
        <f t="shared" ref="Z31:Z36" si="74">IFERROR(Z7*W$30,"N/A")</f>
        <v>N/A</v>
      </c>
      <c r="AA31" s="8"/>
      <c r="AB31" s="9" t="str">
        <f t="shared" ref="AB31:AB36" si="75">IFERROR(AB7*AB$30,"N/A")</f>
        <v>N/A</v>
      </c>
      <c r="AC31" s="10" t="str">
        <f t="shared" ref="AC31:AC36" si="76">IFERROR(AC7*AB$30,"N/A")</f>
        <v>N/A</v>
      </c>
      <c r="AD31" s="10" t="str">
        <f t="shared" ref="AD31:AD36" si="77">IFERROR(AD7*AB$30,"N/A")</f>
        <v>N/A</v>
      </c>
      <c r="AE31" s="11" t="str">
        <f t="shared" ref="AE31:AE36" si="78">IFERROR(AE7*AB$30,"N/A")</f>
        <v>N/A</v>
      </c>
      <c r="AF31" s="88"/>
      <c r="AG31" s="5">
        <f t="shared" ref="AG31:AJ35" si="79">ROUNDDOWN(AG7*$C$30,1)</f>
        <v>98.9</v>
      </c>
      <c r="AH31" s="6">
        <f t="shared" si="79"/>
        <v>125.1</v>
      </c>
      <c r="AI31" s="6">
        <f t="shared" si="79"/>
        <v>263.3</v>
      </c>
      <c r="AJ31" s="107">
        <f t="shared" si="79"/>
        <v>303</v>
      </c>
      <c r="AK31" s="108"/>
      <c r="AL31" s="109">
        <f t="shared" ref="AL31:AO35" si="80">ROUNDDOWN(AL7*$C$30,1)</f>
        <v>151.19999999999999</v>
      </c>
      <c r="AM31" s="10">
        <f t="shared" si="80"/>
        <v>205.7</v>
      </c>
      <c r="AN31" s="10">
        <f t="shared" si="80"/>
        <v>326.5</v>
      </c>
      <c r="AO31" s="11">
        <f t="shared" si="80"/>
        <v>361</v>
      </c>
      <c r="AP31" s="88"/>
    </row>
    <row r="32" spans="1:52" ht="14.45" customHeight="1" x14ac:dyDescent="0.25">
      <c r="A32" s="222"/>
      <c r="B32" s="27" t="s">
        <v>24</v>
      </c>
      <c r="C32" s="112">
        <f t="shared" si="55"/>
        <v>43.3384</v>
      </c>
      <c r="D32" s="113">
        <f t="shared" si="56"/>
        <v>67.100400000000008</v>
      </c>
      <c r="E32" s="113">
        <f t="shared" si="57"/>
        <v>132.1952</v>
      </c>
      <c r="F32" s="114">
        <f t="shared" si="58"/>
        <v>152.90520000000001</v>
      </c>
      <c r="G32" s="108"/>
      <c r="H32" s="115">
        <f t="shared" si="59"/>
        <v>66.272000000000006</v>
      </c>
      <c r="I32" s="116">
        <f t="shared" si="60"/>
        <v>102.80880000000001</v>
      </c>
      <c r="J32" s="116">
        <f t="shared" si="61"/>
        <v>151.68440000000001</v>
      </c>
      <c r="K32" s="117">
        <f t="shared" si="62"/>
        <v>181.07080000000002</v>
      </c>
      <c r="L32" s="8"/>
      <c r="M32" s="12">
        <f t="shared" si="63"/>
        <v>57.216280000000012</v>
      </c>
      <c r="N32" s="13">
        <f t="shared" si="64"/>
        <v>88.582120000000003</v>
      </c>
      <c r="O32" s="13">
        <f t="shared" si="65"/>
        <v>174.47848000000005</v>
      </c>
      <c r="P32" s="14">
        <f t="shared" si="66"/>
        <v>201.81568000000004</v>
      </c>
      <c r="Q32" s="8"/>
      <c r="R32" s="15">
        <f t="shared" si="67"/>
        <v>87.479040000000012</v>
      </c>
      <c r="S32" s="16">
        <f t="shared" si="68"/>
        <v>135.72680000000003</v>
      </c>
      <c r="T32" s="16">
        <f t="shared" si="69"/>
        <v>200.23300000000003</v>
      </c>
      <c r="U32" s="17">
        <f t="shared" si="70"/>
        <v>239.03264000000004</v>
      </c>
      <c r="W32" s="12" t="str">
        <f t="shared" si="71"/>
        <v>N/A</v>
      </c>
      <c r="X32" s="13" t="str">
        <f t="shared" si="72"/>
        <v>N/A</v>
      </c>
      <c r="Y32" s="13" t="str">
        <f t="shared" si="73"/>
        <v>N/A</v>
      </c>
      <c r="Z32" s="14" t="str">
        <f t="shared" si="74"/>
        <v>N/A</v>
      </c>
      <c r="AA32" s="8"/>
      <c r="AB32" s="15" t="str">
        <f t="shared" si="75"/>
        <v>N/A</v>
      </c>
      <c r="AC32" s="16" t="str">
        <f t="shared" si="76"/>
        <v>N/A</v>
      </c>
      <c r="AD32" s="16" t="str">
        <f t="shared" si="77"/>
        <v>N/A</v>
      </c>
      <c r="AE32" s="17" t="str">
        <f t="shared" si="78"/>
        <v>N/A</v>
      </c>
      <c r="AF32" s="88"/>
      <c r="AG32" s="12">
        <f t="shared" si="79"/>
        <v>103.7</v>
      </c>
      <c r="AH32" s="13">
        <f t="shared" si="79"/>
        <v>160.80000000000001</v>
      </c>
      <c r="AI32" s="13">
        <f t="shared" si="79"/>
        <v>316.89999999999998</v>
      </c>
      <c r="AJ32" s="114">
        <f t="shared" si="79"/>
        <v>366.6</v>
      </c>
      <c r="AK32" s="108"/>
      <c r="AL32" s="115">
        <f t="shared" si="80"/>
        <v>158.69999999999999</v>
      </c>
      <c r="AM32" s="16">
        <f t="shared" si="80"/>
        <v>246.3</v>
      </c>
      <c r="AN32" s="16">
        <f t="shared" si="80"/>
        <v>363.6</v>
      </c>
      <c r="AO32" s="17">
        <f t="shared" si="80"/>
        <v>434.2</v>
      </c>
      <c r="AP32" s="88"/>
    </row>
    <row r="33" spans="1:42" ht="14.45" customHeight="1" x14ac:dyDescent="0.25">
      <c r="A33" s="222"/>
      <c r="B33" s="27" t="s">
        <v>25</v>
      </c>
      <c r="C33" s="112">
        <f t="shared" si="55"/>
        <v>47.829200000000007</v>
      </c>
      <c r="D33" s="113">
        <f t="shared" si="56"/>
        <v>79.003200000000007</v>
      </c>
      <c r="E33" s="113">
        <f t="shared" si="57"/>
        <v>161.36359999999999</v>
      </c>
      <c r="F33" s="114">
        <f t="shared" si="58"/>
        <v>188.70080000000002</v>
      </c>
      <c r="G33" s="108"/>
      <c r="H33" s="115">
        <f t="shared" si="59"/>
        <v>73.204400000000007</v>
      </c>
      <c r="I33" s="116">
        <f t="shared" si="60"/>
        <v>115.27840000000002</v>
      </c>
      <c r="J33" s="116">
        <f t="shared" si="61"/>
        <v>186.52080000000001</v>
      </c>
      <c r="K33" s="117">
        <f t="shared" si="62"/>
        <v>209.71600000000001</v>
      </c>
      <c r="L33" s="8"/>
      <c r="M33" s="12">
        <f t="shared" si="63"/>
        <v>63.11536000000001</v>
      </c>
      <c r="N33" s="13">
        <f t="shared" si="64"/>
        <v>104.26504000000001</v>
      </c>
      <c r="O33" s="13">
        <f t="shared" si="65"/>
        <v>212.99036000000001</v>
      </c>
      <c r="P33" s="14">
        <f t="shared" si="66"/>
        <v>249.10424000000003</v>
      </c>
      <c r="Q33" s="8"/>
      <c r="R33" s="15">
        <f t="shared" si="67"/>
        <v>96.639400000000009</v>
      </c>
      <c r="S33" s="16">
        <f t="shared" si="68"/>
        <v>152.17708000000005</v>
      </c>
      <c r="T33" s="16">
        <f t="shared" si="69"/>
        <v>246.22664000000006</v>
      </c>
      <c r="U33" s="17">
        <f t="shared" si="70"/>
        <v>276.82512000000003</v>
      </c>
      <c r="W33" s="12" t="str">
        <f t="shared" si="71"/>
        <v>N/A</v>
      </c>
      <c r="X33" s="13" t="str">
        <f t="shared" si="72"/>
        <v>N/A</v>
      </c>
      <c r="Y33" s="13" t="str">
        <f t="shared" si="73"/>
        <v>N/A</v>
      </c>
      <c r="Z33" s="14" t="str">
        <f t="shared" si="74"/>
        <v>N/A</v>
      </c>
      <c r="AA33" s="8"/>
      <c r="AB33" s="15" t="str">
        <f t="shared" si="75"/>
        <v>N/A</v>
      </c>
      <c r="AC33" s="16" t="str">
        <f t="shared" si="76"/>
        <v>N/A</v>
      </c>
      <c r="AD33" s="16" t="str">
        <f t="shared" si="77"/>
        <v>N/A</v>
      </c>
      <c r="AE33" s="17" t="str">
        <f t="shared" si="78"/>
        <v>N/A</v>
      </c>
      <c r="AF33" s="88"/>
      <c r="AG33" s="12">
        <f t="shared" si="79"/>
        <v>114.6</v>
      </c>
      <c r="AH33" s="13">
        <f t="shared" si="79"/>
        <v>189.2</v>
      </c>
      <c r="AI33" s="13">
        <f t="shared" si="79"/>
        <v>387.1</v>
      </c>
      <c r="AJ33" s="114">
        <f t="shared" si="79"/>
        <v>452.5</v>
      </c>
      <c r="AK33" s="108"/>
      <c r="AL33" s="115">
        <f t="shared" si="80"/>
        <v>175.2</v>
      </c>
      <c r="AM33" s="16">
        <f t="shared" si="80"/>
        <v>276.39999999999998</v>
      </c>
      <c r="AN33" s="16">
        <f t="shared" si="80"/>
        <v>447.3</v>
      </c>
      <c r="AO33" s="17">
        <f t="shared" si="80"/>
        <v>503.1</v>
      </c>
      <c r="AP33" s="88"/>
    </row>
    <row r="34" spans="1:42" ht="14.45" customHeight="1" x14ac:dyDescent="0.25">
      <c r="A34" s="222"/>
      <c r="B34" s="27" t="s">
        <v>26</v>
      </c>
      <c r="C34" s="112">
        <f t="shared" si="55"/>
        <v>52.756</v>
      </c>
      <c r="D34" s="113">
        <f t="shared" si="56"/>
        <v>104.3348</v>
      </c>
      <c r="E34" s="113">
        <f t="shared" si="57"/>
        <v>199.29560000000001</v>
      </c>
      <c r="F34" s="114">
        <f t="shared" si="58"/>
        <v>236.48640000000003</v>
      </c>
      <c r="G34" s="108"/>
      <c r="H34" s="115">
        <f t="shared" si="59"/>
        <v>80.616399999999999</v>
      </c>
      <c r="I34" s="116">
        <f t="shared" si="60"/>
        <v>147.10640000000001</v>
      </c>
      <c r="J34" s="116">
        <f t="shared" si="61"/>
        <v>230.07720000000003</v>
      </c>
      <c r="K34" s="117">
        <f t="shared" si="62"/>
        <v>271.88960000000003</v>
      </c>
      <c r="L34" s="8"/>
      <c r="M34" s="12">
        <f t="shared" si="63"/>
        <v>69.637920000000008</v>
      </c>
      <c r="N34" s="13">
        <f t="shared" si="64"/>
        <v>137.74112000000002</v>
      </c>
      <c r="O34" s="13">
        <f t="shared" si="65"/>
        <v>263.06060000000008</v>
      </c>
      <c r="P34" s="14">
        <f t="shared" si="66"/>
        <v>312.17164000000002</v>
      </c>
      <c r="Q34" s="8"/>
      <c r="R34" s="15">
        <f t="shared" si="67"/>
        <v>106.42324000000002</v>
      </c>
      <c r="S34" s="16">
        <f t="shared" si="68"/>
        <v>194.19004000000004</v>
      </c>
      <c r="T34" s="16">
        <f t="shared" si="69"/>
        <v>303.68272000000002</v>
      </c>
      <c r="U34" s="17">
        <f t="shared" si="70"/>
        <v>358.88468000000006</v>
      </c>
      <c r="W34" s="12" t="str">
        <f t="shared" si="71"/>
        <v>N/A</v>
      </c>
      <c r="X34" s="13" t="str">
        <f t="shared" si="72"/>
        <v>N/A</v>
      </c>
      <c r="Y34" s="13" t="str">
        <f t="shared" si="73"/>
        <v>N/A</v>
      </c>
      <c r="Z34" s="14" t="str">
        <f t="shared" si="74"/>
        <v>N/A</v>
      </c>
      <c r="AA34" s="8"/>
      <c r="AB34" s="15" t="str">
        <f t="shared" si="75"/>
        <v>N/A</v>
      </c>
      <c r="AC34" s="16" t="str">
        <f t="shared" si="76"/>
        <v>N/A</v>
      </c>
      <c r="AD34" s="16" t="str">
        <f t="shared" si="77"/>
        <v>N/A</v>
      </c>
      <c r="AE34" s="17" t="str">
        <f t="shared" si="78"/>
        <v>N/A</v>
      </c>
      <c r="AF34" s="88"/>
      <c r="AG34" s="12">
        <f t="shared" si="79"/>
        <v>126.4</v>
      </c>
      <c r="AH34" s="13">
        <f t="shared" si="79"/>
        <v>250.2</v>
      </c>
      <c r="AI34" s="13">
        <f t="shared" si="79"/>
        <v>478.2</v>
      </c>
      <c r="AJ34" s="114">
        <f t="shared" si="79"/>
        <v>567.20000000000005</v>
      </c>
      <c r="AK34" s="108"/>
      <c r="AL34" s="115">
        <f t="shared" si="80"/>
        <v>193.1</v>
      </c>
      <c r="AM34" s="16">
        <f t="shared" si="80"/>
        <v>352.7</v>
      </c>
      <c r="AN34" s="16">
        <f t="shared" si="80"/>
        <v>551.9</v>
      </c>
      <c r="AO34" s="17">
        <f t="shared" si="80"/>
        <v>652.20000000000005</v>
      </c>
      <c r="AP34" s="88"/>
    </row>
    <row r="35" spans="1:42" ht="14.45" customHeight="1" x14ac:dyDescent="0.25">
      <c r="A35" s="222"/>
      <c r="B35" s="27" t="s">
        <v>27</v>
      </c>
      <c r="C35" s="112">
        <f t="shared" si="55"/>
        <v>52.843200000000003</v>
      </c>
      <c r="D35" s="113">
        <f t="shared" si="56"/>
        <v>123.08280000000001</v>
      </c>
      <c r="E35" s="113">
        <f t="shared" si="57"/>
        <v>223.97319999999999</v>
      </c>
      <c r="F35" s="114">
        <f t="shared" si="58"/>
        <v>260.8152</v>
      </c>
      <c r="G35" s="108"/>
      <c r="H35" s="115">
        <f t="shared" si="59"/>
        <v>80.660000000000011</v>
      </c>
      <c r="I35" s="116">
        <f t="shared" si="60"/>
        <v>172.35080000000002</v>
      </c>
      <c r="J35" s="116">
        <f t="shared" si="61"/>
        <v>253.97000000000003</v>
      </c>
      <c r="K35" s="117">
        <f t="shared" si="62"/>
        <v>294.3</v>
      </c>
      <c r="L35" s="8"/>
      <c r="M35" s="12">
        <f t="shared" si="63"/>
        <v>69.733840000000001</v>
      </c>
      <c r="N35" s="13">
        <f t="shared" si="64"/>
        <v>162.48848000000004</v>
      </c>
      <c r="O35" s="13">
        <f t="shared" si="65"/>
        <v>295.62544000000003</v>
      </c>
      <c r="P35" s="14">
        <f t="shared" si="66"/>
        <v>344.25688000000008</v>
      </c>
      <c r="Q35" s="8"/>
      <c r="R35" s="15">
        <f t="shared" si="67"/>
        <v>106.47120000000001</v>
      </c>
      <c r="S35" s="16">
        <f t="shared" si="68"/>
        <v>227.52224000000004</v>
      </c>
      <c r="T35" s="16">
        <f t="shared" si="69"/>
        <v>335.24040000000008</v>
      </c>
      <c r="U35" s="17">
        <f t="shared" si="70"/>
        <v>388.47600000000006</v>
      </c>
      <c r="W35" s="12" t="str">
        <f t="shared" si="71"/>
        <v>N/A</v>
      </c>
      <c r="X35" s="13" t="str">
        <f t="shared" si="72"/>
        <v>N/A</v>
      </c>
      <c r="Y35" s="13" t="str">
        <f t="shared" si="73"/>
        <v>N/A</v>
      </c>
      <c r="Z35" s="14" t="str">
        <f t="shared" si="74"/>
        <v>N/A</v>
      </c>
      <c r="AA35" s="8"/>
      <c r="AB35" s="15" t="str">
        <f t="shared" si="75"/>
        <v>N/A</v>
      </c>
      <c r="AC35" s="16" t="str">
        <f t="shared" si="76"/>
        <v>N/A</v>
      </c>
      <c r="AD35" s="16" t="str">
        <f t="shared" si="77"/>
        <v>N/A</v>
      </c>
      <c r="AE35" s="17" t="str">
        <f t="shared" si="78"/>
        <v>N/A</v>
      </c>
      <c r="AF35" s="88"/>
      <c r="AG35" s="112">
        <f t="shared" si="79"/>
        <v>126.4</v>
      </c>
      <c r="AH35" s="13">
        <f t="shared" si="79"/>
        <v>295.10000000000002</v>
      </c>
      <c r="AI35" s="13">
        <f t="shared" si="79"/>
        <v>537.1</v>
      </c>
      <c r="AJ35" s="114">
        <f t="shared" si="79"/>
        <v>625.6</v>
      </c>
      <c r="AK35" s="108"/>
      <c r="AL35" s="115">
        <f t="shared" si="80"/>
        <v>193.5</v>
      </c>
      <c r="AM35" s="16">
        <f t="shared" si="80"/>
        <v>413.3</v>
      </c>
      <c r="AN35" s="16">
        <f t="shared" si="80"/>
        <v>609.5</v>
      </c>
      <c r="AO35" s="17">
        <f t="shared" si="80"/>
        <v>706.3</v>
      </c>
      <c r="AP35" s="88"/>
    </row>
    <row r="36" spans="1:42" ht="14.45" customHeight="1" thickBot="1" x14ac:dyDescent="0.3">
      <c r="A36" s="223"/>
      <c r="B36" s="27" t="s">
        <v>29</v>
      </c>
      <c r="C36" s="112" t="str">
        <f t="shared" si="55"/>
        <v>N/A</v>
      </c>
      <c r="D36" s="113">
        <f t="shared" si="56"/>
        <v>19.016575999999997</v>
      </c>
      <c r="E36" s="113">
        <f t="shared" si="57"/>
        <v>31.653600000000001</v>
      </c>
      <c r="F36" s="114">
        <f t="shared" si="58"/>
        <v>42.728000000000009</v>
      </c>
      <c r="G36" s="108"/>
      <c r="H36" s="115" t="str">
        <f t="shared" si="59"/>
        <v>N/A</v>
      </c>
      <c r="I36" s="116">
        <f t="shared" si="60"/>
        <v>22.279600000000002</v>
      </c>
      <c r="J36" s="116">
        <f t="shared" si="61"/>
        <v>34.618400000000001</v>
      </c>
      <c r="K36" s="117">
        <f t="shared" si="62"/>
        <v>46.259599999999999</v>
      </c>
      <c r="L36" s="8"/>
      <c r="M36" s="12" t="str">
        <f t="shared" si="63"/>
        <v>N/A</v>
      </c>
      <c r="N36" s="13">
        <f t="shared" si="64"/>
        <v>21.629960000000004</v>
      </c>
      <c r="O36" s="13">
        <f t="shared" si="65"/>
        <v>41.773160000000011</v>
      </c>
      <c r="P36" s="14">
        <f t="shared" si="66"/>
        <v>56.400960000000005</v>
      </c>
      <c r="Q36" s="8"/>
      <c r="R36" s="15" t="str">
        <f t="shared" si="67"/>
        <v>N/A</v>
      </c>
      <c r="S36" s="16">
        <f t="shared" si="68"/>
        <v>29.399480000000004</v>
      </c>
      <c r="T36" s="16">
        <f t="shared" si="69"/>
        <v>45.705880000000008</v>
      </c>
      <c r="U36" s="17">
        <f t="shared" si="70"/>
        <v>61.053080000000016</v>
      </c>
      <c r="W36" s="12" t="str">
        <f t="shared" si="71"/>
        <v>N/A</v>
      </c>
      <c r="X36" s="13" t="str">
        <f t="shared" si="72"/>
        <v>N/A</v>
      </c>
      <c r="Y36" s="13" t="str">
        <f t="shared" si="73"/>
        <v>N/A</v>
      </c>
      <c r="Z36" s="14" t="str">
        <f t="shared" si="74"/>
        <v>N/A</v>
      </c>
      <c r="AA36" s="8"/>
      <c r="AB36" s="15" t="str">
        <f t="shared" si="75"/>
        <v>N/A</v>
      </c>
      <c r="AC36" s="16" t="str">
        <f t="shared" si="76"/>
        <v>N/A</v>
      </c>
      <c r="AD36" s="16" t="str">
        <f t="shared" si="77"/>
        <v>N/A</v>
      </c>
      <c r="AE36" s="17" t="str">
        <f t="shared" si="78"/>
        <v>N/A</v>
      </c>
      <c r="AF36" s="88"/>
      <c r="AG36" s="112" t="s">
        <v>118</v>
      </c>
      <c r="AH36" s="13">
        <f>ROUNDDOWN(AH12*$C$30,1)</f>
        <v>45.3</v>
      </c>
      <c r="AI36" s="13">
        <f>ROUNDDOWN(AI12*$C$30,1)</f>
        <v>75.8</v>
      </c>
      <c r="AJ36" s="114">
        <f>ROUNDDOWN(AJ12*$C$30,1)</f>
        <v>102.4</v>
      </c>
      <c r="AK36" s="108"/>
      <c r="AL36" s="115" t="s">
        <v>118</v>
      </c>
      <c r="AM36" s="16">
        <f>ROUNDDOWN(AM12*$C$30,1)</f>
        <v>53.1</v>
      </c>
      <c r="AN36" s="16">
        <f>ROUNDDOWN(AN12*$C$30,1)</f>
        <v>82.8</v>
      </c>
      <c r="AO36" s="17">
        <f>ROUNDDOWN(AO12*$C$30,1)</f>
        <v>110.7</v>
      </c>
      <c r="AP36" s="88"/>
    </row>
    <row r="37" spans="1:42" ht="5.0999999999999996" customHeight="1" thickBot="1" x14ac:dyDescent="0.3"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W37" s="8"/>
      <c r="X37" s="8"/>
      <c r="Y37" s="8"/>
      <c r="Z37" s="8"/>
      <c r="AA37" s="8"/>
      <c r="AB37" s="8"/>
      <c r="AC37" s="8"/>
      <c r="AD37" s="8"/>
      <c r="AE37" s="8"/>
      <c r="AF37" s="89"/>
      <c r="AG37" s="108"/>
      <c r="AH37" s="108"/>
      <c r="AI37" s="108"/>
      <c r="AJ37" s="108"/>
      <c r="AK37" s="108"/>
      <c r="AL37" s="108"/>
      <c r="AM37" s="108"/>
      <c r="AN37" s="108"/>
      <c r="AO37" s="108"/>
      <c r="AP37" s="89"/>
    </row>
    <row r="38" spans="1:42" ht="15.75" thickBot="1" x14ac:dyDescent="0.3">
      <c r="B38" s="28" t="s">
        <v>119</v>
      </c>
      <c r="C38" s="29">
        <v>6.54</v>
      </c>
      <c r="D38" s="28"/>
      <c r="E38" s="28"/>
      <c r="F38" s="28"/>
      <c r="G38" s="28"/>
      <c r="H38" s="29">
        <v>6.54</v>
      </c>
      <c r="I38" s="28"/>
      <c r="J38" s="28"/>
      <c r="K38" s="28"/>
      <c r="L38" s="28"/>
      <c r="M38" s="29">
        <v>6.54</v>
      </c>
      <c r="N38" s="28"/>
      <c r="O38" s="28"/>
      <c r="P38" s="28"/>
      <c r="Q38" s="28"/>
      <c r="R38" s="29">
        <v>6.54</v>
      </c>
      <c r="T38" s="8"/>
      <c r="U38" s="8"/>
      <c r="W38" s="29">
        <v>6.54</v>
      </c>
      <c r="X38" s="28"/>
      <c r="Y38" s="28"/>
      <c r="Z38" s="28"/>
      <c r="AA38" s="28"/>
      <c r="AB38" s="29">
        <v>6.54</v>
      </c>
      <c r="AD38" s="8"/>
      <c r="AE38" s="8"/>
      <c r="AF38" s="89"/>
      <c r="AG38" s="108"/>
      <c r="AH38" s="108"/>
      <c r="AI38" s="108"/>
      <c r="AJ38" s="108"/>
      <c r="AK38" s="108"/>
      <c r="AN38" s="108"/>
      <c r="AO38" s="108"/>
      <c r="AP38" s="89"/>
    </row>
    <row r="39" spans="1:42" ht="14.45" customHeight="1" x14ac:dyDescent="0.25">
      <c r="A39" s="221" t="s">
        <v>123</v>
      </c>
      <c r="B39" s="26" t="s">
        <v>23</v>
      </c>
      <c r="C39" s="105">
        <f>IFERROR(C7*C$38,"N/A")</f>
        <v>61.933800000000005</v>
      </c>
      <c r="D39" s="106">
        <f>IFERROR(D7*C$38,"N/A")</f>
        <v>78.218400000000003</v>
      </c>
      <c r="E39" s="106">
        <f>IFERROR(E7*C$38,"N/A")</f>
        <v>164.6772</v>
      </c>
      <c r="F39" s="107" t="s">
        <v>118</v>
      </c>
      <c r="G39" s="108"/>
      <c r="H39" s="109">
        <f>IFERROR(H7*H$38,"N/A")</f>
        <v>94.633800000000008</v>
      </c>
      <c r="I39" s="110">
        <f>IFERROR(I7*H$38,"N/A")</f>
        <v>128.83799999999999</v>
      </c>
      <c r="J39" s="110">
        <f>IFERROR(J7*H$38,"N/A")</f>
        <v>204.24420000000001</v>
      </c>
      <c r="K39" s="111" t="s">
        <v>118</v>
      </c>
      <c r="L39" s="8"/>
      <c r="M39" s="5">
        <f>IFERROR(M7*M$38,"N/A")</f>
        <v>81.72384000000001</v>
      </c>
      <c r="N39" s="6">
        <f>IFERROR(N7*M$38,"N/A")</f>
        <v>103.23390000000001</v>
      </c>
      <c r="O39" s="6">
        <f>IFERROR(O7*M$38,"N/A")</f>
        <v>217.40268000000003</v>
      </c>
      <c r="P39" s="7" t="s">
        <v>118</v>
      </c>
      <c r="Q39" s="8"/>
      <c r="R39" s="9">
        <f>IFERROR(R7*R$38,"N/A")</f>
        <v>124.88784</v>
      </c>
      <c r="S39" s="10">
        <f>IFERROR(S7*R$38,"N/A")</f>
        <v>170.06616</v>
      </c>
      <c r="T39" s="10">
        <f>IFERROR(T7*R$38,"N/A")</f>
        <v>269.63112000000001</v>
      </c>
      <c r="U39" s="11" t="s">
        <v>118</v>
      </c>
      <c r="W39" s="5" t="str">
        <f>IFERROR(W7*W$38,"N/A")</f>
        <v>N/A</v>
      </c>
      <c r="X39" s="6" t="str">
        <f>IFERROR(X7*W$38,"N/A")</f>
        <v>N/A</v>
      </c>
      <c r="Y39" s="6" t="str">
        <f>IFERROR(Y7*W$38,"N/A")</f>
        <v>N/A</v>
      </c>
      <c r="Z39" s="7" t="s">
        <v>118</v>
      </c>
      <c r="AA39" s="8"/>
      <c r="AB39" s="9" t="str">
        <f>IFERROR(AB7*AB$38,"N/A")</f>
        <v>N/A</v>
      </c>
      <c r="AC39" s="10" t="str">
        <f>IFERROR(AC7*AB$38,"N/A")</f>
        <v>N/A</v>
      </c>
      <c r="AD39" s="10" t="str">
        <f>IFERROR(AD7*AB$38,"N/A")</f>
        <v>N/A</v>
      </c>
      <c r="AE39" s="11" t="s">
        <v>118</v>
      </c>
      <c r="AF39" s="88"/>
      <c r="AG39" s="5">
        <f>ROUNDDOWN(C39/(1-$AJ$2)*1.2,1)</f>
        <v>148.6</v>
      </c>
      <c r="AH39" s="6">
        <f>ROUNDDOWN(D39/(1-$AJ$2)*1.2,1)</f>
        <v>187.7</v>
      </c>
      <c r="AI39" s="6">
        <f>ROUNDDOWN(E39/(1-$AJ$2)*1.2,1)</f>
        <v>395.2</v>
      </c>
      <c r="AJ39" s="107" t="s">
        <v>118</v>
      </c>
      <c r="AK39" s="108"/>
      <c r="AL39" s="109">
        <f>ROUNDDOWN(H39/(1-$AJ$2)*1.2,1)</f>
        <v>227.1</v>
      </c>
      <c r="AM39" s="10">
        <f t="shared" ref="AM39:AN41" si="81">ROUNDDOWN(I39/(1-$AJ$2)*1.2,1)</f>
        <v>309.2</v>
      </c>
      <c r="AN39" s="10">
        <f t="shared" si="81"/>
        <v>490.1</v>
      </c>
      <c r="AO39" s="111" t="s">
        <v>118</v>
      </c>
      <c r="AP39" s="88"/>
    </row>
    <row r="40" spans="1:42" ht="14.45" customHeight="1" x14ac:dyDescent="0.25">
      <c r="A40" s="222"/>
      <c r="B40" s="27" t="s">
        <v>24</v>
      </c>
      <c r="C40" s="112">
        <f>IFERROR(C8*C$38,"N/A")</f>
        <v>65.007599999999996</v>
      </c>
      <c r="D40" s="113">
        <f>IFERROR(D8*C$38,"N/A")</f>
        <v>100.6506</v>
      </c>
      <c r="E40" s="113">
        <f>IFERROR(E8*C$38,"N/A")</f>
        <v>198.2928</v>
      </c>
      <c r="F40" s="114" t="s">
        <v>118</v>
      </c>
      <c r="G40" s="108"/>
      <c r="H40" s="115">
        <f>IFERROR(H8*H$38,"N/A")</f>
        <v>99.408000000000001</v>
      </c>
      <c r="I40" s="116">
        <f>IFERROR(I8*H$38,"N/A")</f>
        <v>154.2132</v>
      </c>
      <c r="J40" s="116">
        <f>IFERROR(J8*H$38,"N/A")</f>
        <v>227.5266</v>
      </c>
      <c r="K40" s="117" t="s">
        <v>118</v>
      </c>
      <c r="L40" s="8"/>
      <c r="M40" s="12">
        <f>IFERROR(M8*M$38,"N/A")</f>
        <v>85.824420000000003</v>
      </c>
      <c r="N40" s="13">
        <f>IFERROR(N8*M$38,"N/A")</f>
        <v>132.87317999999999</v>
      </c>
      <c r="O40" s="13">
        <f>IFERROR(O8*M$38,"N/A")</f>
        <v>261.71772000000004</v>
      </c>
      <c r="P40" s="14" t="s">
        <v>118</v>
      </c>
      <c r="Q40" s="8"/>
      <c r="R40" s="15">
        <f>IFERROR(R8*R$38,"N/A")</f>
        <v>131.21856</v>
      </c>
      <c r="S40" s="16">
        <f>IFERROR(S8*R$38,"N/A")</f>
        <v>203.59020000000001</v>
      </c>
      <c r="T40" s="16">
        <f>IFERROR(T8*R$38,"N/A")</f>
        <v>300.34950000000003</v>
      </c>
      <c r="U40" s="17" t="s">
        <v>118</v>
      </c>
      <c r="W40" s="12" t="str">
        <f>IFERROR(W8*W$38,"N/A")</f>
        <v>N/A</v>
      </c>
      <c r="X40" s="13" t="str">
        <f>IFERROR(X8*W$38,"N/A")</f>
        <v>N/A</v>
      </c>
      <c r="Y40" s="13" t="str">
        <f>IFERROR(Y8*W$38,"N/A")</f>
        <v>N/A</v>
      </c>
      <c r="Z40" s="14" t="s">
        <v>118</v>
      </c>
      <c r="AA40" s="8"/>
      <c r="AB40" s="15" t="str">
        <f>IFERROR(AB8*AB$38,"N/A")</f>
        <v>N/A</v>
      </c>
      <c r="AC40" s="16" t="str">
        <f>IFERROR(AC8*AB$38,"N/A")</f>
        <v>N/A</v>
      </c>
      <c r="AD40" s="16" t="str">
        <f>IFERROR(AD8*AB$38,"N/A")</f>
        <v>N/A</v>
      </c>
      <c r="AE40" s="17" t="s">
        <v>118</v>
      </c>
      <c r="AF40" s="88"/>
      <c r="AG40" s="12">
        <f t="shared" ref="AG40:AI41" si="82">ROUNDDOWN(C40/(1-$AJ$2)*1.2,1)</f>
        <v>156</v>
      </c>
      <c r="AH40" s="13">
        <f t="shared" si="82"/>
        <v>241.5</v>
      </c>
      <c r="AI40" s="13">
        <f t="shared" si="82"/>
        <v>475.9</v>
      </c>
      <c r="AJ40" s="114" t="s">
        <v>118</v>
      </c>
      <c r="AK40" s="108"/>
      <c r="AL40" s="115">
        <f t="shared" ref="AL40:AL41" si="83">ROUNDDOWN(H40/(1-$AJ$2)*1.2,1)</f>
        <v>238.5</v>
      </c>
      <c r="AM40" s="16">
        <f t="shared" si="81"/>
        <v>370.1</v>
      </c>
      <c r="AN40" s="16">
        <f t="shared" si="81"/>
        <v>546</v>
      </c>
      <c r="AO40" s="117" t="s">
        <v>118</v>
      </c>
      <c r="AP40" s="88"/>
    </row>
    <row r="41" spans="1:42" ht="14.45" customHeight="1" x14ac:dyDescent="0.25">
      <c r="A41" s="222"/>
      <c r="B41" s="27" t="s">
        <v>25</v>
      </c>
      <c r="C41" s="112">
        <f>IFERROR(C9*C$38,"N/A")</f>
        <v>71.743800000000007</v>
      </c>
      <c r="D41" s="113">
        <f>IFERROR(D9*C$38,"N/A")</f>
        <v>118.5048</v>
      </c>
      <c r="E41" s="113">
        <f>IFERROR(E9*C$38,"N/A")</f>
        <v>242.0454</v>
      </c>
      <c r="F41" s="114" t="s">
        <v>118</v>
      </c>
      <c r="G41" s="108"/>
      <c r="H41" s="115">
        <f>IFERROR(H9*H$38,"N/A")</f>
        <v>109.80659999999999</v>
      </c>
      <c r="I41" s="116">
        <f>IFERROR(I9*H$38,"N/A")</f>
        <v>172.91760000000002</v>
      </c>
      <c r="J41" s="116">
        <f>IFERROR(J9*H$38,"N/A")</f>
        <v>279.78120000000001</v>
      </c>
      <c r="K41" s="117" t="s">
        <v>118</v>
      </c>
      <c r="L41" s="8"/>
      <c r="M41" s="12">
        <f>IFERROR(M9*M$38,"N/A")</f>
        <v>94.67304</v>
      </c>
      <c r="N41" s="13">
        <f>IFERROR(N9*M$38,"N/A")</f>
        <v>156.39756</v>
      </c>
      <c r="O41" s="13">
        <f>IFERROR(O9*M$38,"N/A")</f>
        <v>319.48554000000001</v>
      </c>
      <c r="P41" s="14" t="s">
        <v>118</v>
      </c>
      <c r="Q41" s="8"/>
      <c r="R41" s="15">
        <f>IFERROR(R9*R$38,"N/A")</f>
        <v>144.95910000000001</v>
      </c>
      <c r="S41" s="16">
        <f>IFERROR(S9*R$38,"N/A")</f>
        <v>228.26562000000004</v>
      </c>
      <c r="T41" s="16">
        <f>IFERROR(T9*R$38,"N/A")</f>
        <v>369.33996000000008</v>
      </c>
      <c r="U41" s="17" t="s">
        <v>118</v>
      </c>
      <c r="W41" s="12" t="str">
        <f>IFERROR(W9*W$38,"N/A")</f>
        <v>N/A</v>
      </c>
      <c r="X41" s="13" t="str">
        <f>IFERROR(X9*W$38,"N/A")</f>
        <v>N/A</v>
      </c>
      <c r="Y41" s="13" t="str">
        <f>IFERROR(Y9*W$38,"N/A")</f>
        <v>N/A</v>
      </c>
      <c r="Z41" s="14" t="s">
        <v>118</v>
      </c>
      <c r="AA41" s="8"/>
      <c r="AB41" s="15" t="str">
        <f>IFERROR(AB9*AB$38,"N/A")</f>
        <v>N/A</v>
      </c>
      <c r="AC41" s="16" t="str">
        <f>IFERROR(AC9*AB$38,"N/A")</f>
        <v>N/A</v>
      </c>
      <c r="AD41" s="16" t="str">
        <f>IFERROR(AD9*AB$38,"N/A")</f>
        <v>N/A</v>
      </c>
      <c r="AE41" s="17" t="s">
        <v>118</v>
      </c>
      <c r="AF41" s="88"/>
      <c r="AG41" s="12">
        <f t="shared" si="82"/>
        <v>172.1</v>
      </c>
      <c r="AH41" s="13">
        <f t="shared" si="82"/>
        <v>284.39999999999998</v>
      </c>
      <c r="AI41" s="13">
        <f t="shared" si="82"/>
        <v>580.9</v>
      </c>
      <c r="AJ41" s="114" t="s">
        <v>118</v>
      </c>
      <c r="AK41" s="108"/>
      <c r="AL41" s="115">
        <f t="shared" si="83"/>
        <v>263.5</v>
      </c>
      <c r="AM41" s="16">
        <f t="shared" si="81"/>
        <v>415</v>
      </c>
      <c r="AN41" s="16">
        <f t="shared" si="81"/>
        <v>671.4</v>
      </c>
      <c r="AO41" s="117" t="s">
        <v>118</v>
      </c>
      <c r="AP41" s="88"/>
    </row>
    <row r="42" spans="1:42" ht="14.45" customHeight="1" x14ac:dyDescent="0.25">
      <c r="A42" s="222"/>
      <c r="B42" s="27" t="s">
        <v>26</v>
      </c>
      <c r="C42" s="112" t="s">
        <v>118</v>
      </c>
      <c r="D42" s="113" t="s">
        <v>118</v>
      </c>
      <c r="E42" s="113" t="s">
        <v>118</v>
      </c>
      <c r="F42" s="114" t="s">
        <v>118</v>
      </c>
      <c r="G42" s="108"/>
      <c r="H42" s="115" t="s">
        <v>118</v>
      </c>
      <c r="I42" s="116" t="s">
        <v>118</v>
      </c>
      <c r="J42" s="116" t="s">
        <v>118</v>
      </c>
      <c r="K42" s="117" t="s">
        <v>118</v>
      </c>
      <c r="L42" s="8"/>
      <c r="M42" s="12" t="s">
        <v>118</v>
      </c>
      <c r="N42" s="13" t="s">
        <v>118</v>
      </c>
      <c r="O42" s="13" t="s">
        <v>118</v>
      </c>
      <c r="P42" s="14" t="s">
        <v>118</v>
      </c>
      <c r="Q42" s="8"/>
      <c r="R42" s="15" t="s">
        <v>118</v>
      </c>
      <c r="S42" s="16" t="s">
        <v>118</v>
      </c>
      <c r="T42" s="16" t="s">
        <v>118</v>
      </c>
      <c r="U42" s="17" t="s">
        <v>118</v>
      </c>
      <c r="W42" s="12" t="s">
        <v>118</v>
      </c>
      <c r="X42" s="13" t="s">
        <v>118</v>
      </c>
      <c r="Y42" s="13" t="s">
        <v>118</v>
      </c>
      <c r="Z42" s="14" t="s">
        <v>118</v>
      </c>
      <c r="AA42" s="8"/>
      <c r="AB42" s="15" t="s">
        <v>118</v>
      </c>
      <c r="AC42" s="16" t="s">
        <v>118</v>
      </c>
      <c r="AD42" s="16" t="s">
        <v>118</v>
      </c>
      <c r="AE42" s="17" t="s">
        <v>118</v>
      </c>
      <c r="AF42" s="88"/>
      <c r="AG42" s="12" t="s">
        <v>118</v>
      </c>
      <c r="AH42" s="13" t="s">
        <v>118</v>
      </c>
      <c r="AI42" s="13" t="s">
        <v>118</v>
      </c>
      <c r="AJ42" s="114" t="s">
        <v>118</v>
      </c>
      <c r="AK42" s="108"/>
      <c r="AL42" s="115" t="s">
        <v>118</v>
      </c>
      <c r="AM42" s="116" t="s">
        <v>118</v>
      </c>
      <c r="AN42" s="116" t="s">
        <v>118</v>
      </c>
      <c r="AO42" s="117" t="s">
        <v>118</v>
      </c>
      <c r="AP42" s="88"/>
    </row>
    <row r="43" spans="1:42" ht="14.45" customHeight="1" x14ac:dyDescent="0.25">
      <c r="A43" s="222"/>
      <c r="B43" s="27" t="s">
        <v>27</v>
      </c>
      <c r="C43" s="112" t="s">
        <v>118</v>
      </c>
      <c r="D43" s="113" t="s">
        <v>118</v>
      </c>
      <c r="E43" s="113" t="s">
        <v>118</v>
      </c>
      <c r="F43" s="114" t="s">
        <v>118</v>
      </c>
      <c r="G43" s="108"/>
      <c r="H43" s="115" t="s">
        <v>118</v>
      </c>
      <c r="I43" s="116" t="s">
        <v>118</v>
      </c>
      <c r="J43" s="116" t="s">
        <v>118</v>
      </c>
      <c r="K43" s="117" t="s">
        <v>118</v>
      </c>
      <c r="L43" s="8"/>
      <c r="M43" s="12" t="s">
        <v>118</v>
      </c>
      <c r="N43" s="13" t="s">
        <v>118</v>
      </c>
      <c r="O43" s="13" t="s">
        <v>118</v>
      </c>
      <c r="P43" s="14" t="s">
        <v>118</v>
      </c>
      <c r="Q43" s="8"/>
      <c r="R43" s="15" t="s">
        <v>118</v>
      </c>
      <c r="S43" s="16" t="s">
        <v>118</v>
      </c>
      <c r="T43" s="16" t="s">
        <v>118</v>
      </c>
      <c r="U43" s="17" t="s">
        <v>118</v>
      </c>
      <c r="W43" s="12" t="s">
        <v>118</v>
      </c>
      <c r="X43" s="13" t="s">
        <v>118</v>
      </c>
      <c r="Y43" s="13" t="s">
        <v>118</v>
      </c>
      <c r="Z43" s="14" t="s">
        <v>118</v>
      </c>
      <c r="AA43" s="8"/>
      <c r="AB43" s="15" t="s">
        <v>118</v>
      </c>
      <c r="AC43" s="16" t="s">
        <v>118</v>
      </c>
      <c r="AD43" s="16" t="s">
        <v>118</v>
      </c>
      <c r="AE43" s="17" t="s">
        <v>118</v>
      </c>
      <c r="AF43" s="88"/>
      <c r="AG43" s="112" t="s">
        <v>118</v>
      </c>
      <c r="AH43" s="13" t="s">
        <v>118</v>
      </c>
      <c r="AI43" s="13" t="s">
        <v>118</v>
      </c>
      <c r="AJ43" s="114" t="s">
        <v>118</v>
      </c>
      <c r="AK43" s="108"/>
      <c r="AL43" s="115" t="s">
        <v>118</v>
      </c>
      <c r="AM43" s="116" t="s">
        <v>118</v>
      </c>
      <c r="AN43" s="116" t="s">
        <v>118</v>
      </c>
      <c r="AO43" s="117" t="s">
        <v>118</v>
      </c>
      <c r="AP43" s="88"/>
    </row>
    <row r="44" spans="1:42" ht="14.45" customHeight="1" thickBot="1" x14ac:dyDescent="0.3">
      <c r="A44" s="223"/>
      <c r="B44" s="27" t="s">
        <v>29</v>
      </c>
      <c r="C44" s="112" t="str">
        <f>IFERROR(C12*C$38,"N/A")</f>
        <v>N/A</v>
      </c>
      <c r="D44" s="113" t="s">
        <v>118</v>
      </c>
      <c r="E44" s="113" t="s">
        <v>118</v>
      </c>
      <c r="F44" s="114" t="s">
        <v>118</v>
      </c>
      <c r="G44" s="108"/>
      <c r="H44" s="115" t="s">
        <v>118</v>
      </c>
      <c r="I44" s="116" t="s">
        <v>118</v>
      </c>
      <c r="J44" s="116" t="s">
        <v>118</v>
      </c>
      <c r="K44" s="117" t="s">
        <v>118</v>
      </c>
      <c r="L44" s="8"/>
      <c r="M44" s="12" t="str">
        <f>IFERROR(M12*M$38,"N/A")</f>
        <v>N/A</v>
      </c>
      <c r="N44" s="13" t="s">
        <v>118</v>
      </c>
      <c r="O44" s="13" t="s">
        <v>118</v>
      </c>
      <c r="P44" s="14" t="s">
        <v>118</v>
      </c>
      <c r="Q44" s="8"/>
      <c r="R44" s="15" t="s">
        <v>118</v>
      </c>
      <c r="S44" s="16" t="s">
        <v>118</v>
      </c>
      <c r="T44" s="16" t="s">
        <v>118</v>
      </c>
      <c r="U44" s="17" t="s">
        <v>118</v>
      </c>
      <c r="W44" s="12" t="str">
        <f>IFERROR(W12*W$38,"N/A")</f>
        <v>N/A</v>
      </c>
      <c r="X44" s="13" t="s">
        <v>118</v>
      </c>
      <c r="Y44" s="13" t="s">
        <v>118</v>
      </c>
      <c r="Z44" s="14" t="s">
        <v>118</v>
      </c>
      <c r="AA44" s="8"/>
      <c r="AB44" s="15" t="s">
        <v>118</v>
      </c>
      <c r="AC44" s="16" t="s">
        <v>118</v>
      </c>
      <c r="AD44" s="16" t="s">
        <v>118</v>
      </c>
      <c r="AE44" s="17" t="s">
        <v>118</v>
      </c>
      <c r="AF44" s="88"/>
      <c r="AG44" s="112" t="str">
        <f>IFERROR(AG12*AG$38,"N/A")</f>
        <v>N/A</v>
      </c>
      <c r="AH44" s="13" t="s">
        <v>118</v>
      </c>
      <c r="AI44" s="13" t="s">
        <v>118</v>
      </c>
      <c r="AJ44" s="114" t="s">
        <v>118</v>
      </c>
      <c r="AK44" s="108"/>
      <c r="AL44" s="115" t="s">
        <v>118</v>
      </c>
      <c r="AM44" s="116" t="s">
        <v>118</v>
      </c>
      <c r="AN44" s="116" t="s">
        <v>118</v>
      </c>
      <c r="AO44" s="117" t="s">
        <v>118</v>
      </c>
      <c r="AP44" s="88"/>
    </row>
    <row r="45" spans="1:42" ht="5.0999999999999996" customHeight="1" thickBot="1" x14ac:dyDescent="0.3"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W45" s="8"/>
      <c r="X45" s="8"/>
      <c r="Y45" s="8"/>
      <c r="Z45" s="8"/>
      <c r="AA45" s="8"/>
      <c r="AB45" s="8"/>
      <c r="AC45" s="8"/>
      <c r="AD45" s="8"/>
      <c r="AE45" s="8"/>
      <c r="AF45" s="89"/>
      <c r="AG45" s="108"/>
      <c r="AH45" s="108"/>
      <c r="AI45" s="108"/>
      <c r="AJ45" s="108"/>
      <c r="AK45" s="108"/>
      <c r="AL45" s="108"/>
      <c r="AM45" s="108"/>
      <c r="AN45" s="108"/>
      <c r="AO45" s="108"/>
      <c r="AP45" s="89"/>
    </row>
    <row r="46" spans="1:42" ht="15.75" thickBot="1" x14ac:dyDescent="0.3">
      <c r="B46" s="28" t="s">
        <v>119</v>
      </c>
      <c r="C46" s="30">
        <v>8.1750000000000007</v>
      </c>
      <c r="D46" s="28"/>
      <c r="E46" s="28"/>
      <c r="F46" s="28"/>
      <c r="G46" s="28"/>
      <c r="H46" s="30">
        <v>8.1750000000000007</v>
      </c>
      <c r="I46" s="28"/>
      <c r="J46" s="28"/>
      <c r="K46" s="28"/>
      <c r="L46" s="28"/>
      <c r="M46" s="30">
        <v>8.1750000000000007</v>
      </c>
      <c r="N46" s="28"/>
      <c r="O46" s="28"/>
      <c r="P46" s="28"/>
      <c r="Q46" s="28"/>
      <c r="R46" s="30">
        <v>8.1750000000000007</v>
      </c>
      <c r="T46" s="8"/>
      <c r="U46" s="8"/>
      <c r="W46" s="30">
        <v>8.1750000000000007</v>
      </c>
      <c r="X46" s="28"/>
      <c r="Y46" s="28"/>
      <c r="Z46" s="28"/>
      <c r="AA46" s="28"/>
      <c r="AB46" s="30">
        <v>8.1750000000000007</v>
      </c>
      <c r="AD46" s="8"/>
      <c r="AE46" s="8"/>
      <c r="AF46" s="89"/>
      <c r="AG46" s="108"/>
      <c r="AH46" s="108"/>
      <c r="AI46" s="108"/>
      <c r="AJ46" s="108"/>
      <c r="AK46" s="108"/>
      <c r="AN46" s="108"/>
      <c r="AO46" s="108"/>
      <c r="AP46" s="89"/>
    </row>
    <row r="47" spans="1:42" ht="14.45" customHeight="1" x14ac:dyDescent="0.25">
      <c r="A47" s="221" t="s">
        <v>124</v>
      </c>
      <c r="B47" s="26" t="s">
        <v>23</v>
      </c>
      <c r="C47" s="105">
        <f>IFERROR(C7*C$46,"N/A")</f>
        <v>77.41725000000001</v>
      </c>
      <c r="D47" s="106">
        <f>IFERROR(D7*C$46,"N/A")</f>
        <v>97.77300000000001</v>
      </c>
      <c r="E47" s="106">
        <f>IFERROR(E7*C$46,"N/A")</f>
        <v>205.84650000000002</v>
      </c>
      <c r="F47" s="107" t="s">
        <v>118</v>
      </c>
      <c r="G47" s="108"/>
      <c r="H47" s="109">
        <f>IFERROR(H7*H$46,"N/A")</f>
        <v>118.29225000000001</v>
      </c>
      <c r="I47" s="110">
        <f>IFERROR(I7*H$46,"N/A")</f>
        <v>161.04750000000001</v>
      </c>
      <c r="J47" s="110">
        <f>IFERROR(J7*H$46,"N/A")</f>
        <v>255.30525000000003</v>
      </c>
      <c r="K47" s="11" t="s">
        <v>118</v>
      </c>
      <c r="L47" s="8"/>
      <c r="M47" s="5">
        <f>IFERROR(M7*M$46,"N/A")</f>
        <v>102.15480000000001</v>
      </c>
      <c r="N47" s="6">
        <f>IFERROR(N7*M$46,"N/A")</f>
        <v>129.04237500000002</v>
      </c>
      <c r="O47" s="6">
        <f>IFERROR(O7*M$46,"N/A")</f>
        <v>271.75335000000007</v>
      </c>
      <c r="P47" s="7" t="s">
        <v>118</v>
      </c>
      <c r="Q47" s="8"/>
      <c r="R47" s="9">
        <f>IFERROR(R7*R$46,"N/A")</f>
        <v>156.10980000000001</v>
      </c>
      <c r="S47" s="10">
        <f>IFERROR(S7*R$46,"N/A")</f>
        <v>212.58270000000002</v>
      </c>
      <c r="T47" s="10">
        <f>IFERROR(T7*R$46,"N/A")</f>
        <v>337.03890000000007</v>
      </c>
      <c r="U47" s="11" t="s">
        <v>118</v>
      </c>
      <c r="W47" s="5" t="str">
        <f>IFERROR(W7*W$46,"N/A")</f>
        <v>N/A</v>
      </c>
      <c r="X47" s="6" t="str">
        <f>IFERROR(X7*W$46,"N/A")</f>
        <v>N/A</v>
      </c>
      <c r="Y47" s="6" t="str">
        <f>IFERROR(Y7*W$46,"N/A")</f>
        <v>N/A</v>
      </c>
      <c r="Z47" s="7" t="s">
        <v>118</v>
      </c>
      <c r="AA47" s="8"/>
      <c r="AB47" s="9" t="str">
        <f>IFERROR(AB7*AB$46,"N/A")</f>
        <v>N/A</v>
      </c>
      <c r="AC47" s="10" t="str">
        <f>IFERROR(AC7*AB$46,"N/A")</f>
        <v>N/A</v>
      </c>
      <c r="AD47" s="10" t="str">
        <f>IFERROR(AD7*AB$46,"N/A")</f>
        <v>N/A</v>
      </c>
      <c r="AE47" s="11" t="s">
        <v>118</v>
      </c>
      <c r="AF47" s="88"/>
      <c r="AG47" s="5">
        <f>ROUNDDOWN(C47/(1-$AJ$2)*1.2,1)</f>
        <v>185.8</v>
      </c>
      <c r="AH47" s="6">
        <f>ROUNDDOWN(D47/(1-$AJ$2)*1.2,1)</f>
        <v>234.6</v>
      </c>
      <c r="AI47" s="6">
        <f>ROUNDDOWN(E47/(1-$AJ$2)*1.2,1)</f>
        <v>494</v>
      </c>
      <c r="AJ47" s="107" t="s">
        <v>118</v>
      </c>
      <c r="AK47" s="108"/>
      <c r="AL47" s="109">
        <f>ROUNDDOWN(H47/(1-$AJ$2)*1.2,1)</f>
        <v>283.89999999999998</v>
      </c>
      <c r="AM47" s="10">
        <f t="shared" ref="AM47:AN49" si="84">ROUNDDOWN(I47/(1-$AJ$2)*1.2,1)</f>
        <v>386.5</v>
      </c>
      <c r="AN47" s="10">
        <f t="shared" si="84"/>
        <v>612.70000000000005</v>
      </c>
      <c r="AO47" s="111" t="s">
        <v>118</v>
      </c>
      <c r="AP47" s="88"/>
    </row>
    <row r="48" spans="1:42" ht="14.45" customHeight="1" x14ac:dyDescent="0.25">
      <c r="A48" s="222"/>
      <c r="B48" s="27" t="s">
        <v>24</v>
      </c>
      <c r="C48" s="112">
        <f>IFERROR(C8*C$46,"N/A")</f>
        <v>81.259500000000003</v>
      </c>
      <c r="D48" s="113">
        <f>IFERROR(D8*C$46,"N/A")</f>
        <v>125.81325000000001</v>
      </c>
      <c r="E48" s="113">
        <f>IFERROR(E8*C$46,"N/A")</f>
        <v>247.86600000000001</v>
      </c>
      <c r="F48" s="114" t="s">
        <v>118</v>
      </c>
      <c r="G48" s="108"/>
      <c r="H48" s="115">
        <f>IFERROR(H8*H$46,"N/A")</f>
        <v>124.26</v>
      </c>
      <c r="I48" s="116">
        <f>IFERROR(I8*H$46,"N/A")</f>
        <v>192.76650000000001</v>
      </c>
      <c r="J48" s="116">
        <f>IFERROR(J8*H$46,"N/A")</f>
        <v>284.40825000000001</v>
      </c>
      <c r="K48" s="17" t="s">
        <v>118</v>
      </c>
      <c r="L48" s="8"/>
      <c r="M48" s="12">
        <f>IFERROR(M8*M$46,"N/A")</f>
        <v>107.28052500000001</v>
      </c>
      <c r="N48" s="13">
        <f>IFERROR(N8*M$46,"N/A")</f>
        <v>166.091475</v>
      </c>
      <c r="O48" s="13">
        <f>IFERROR(O8*M$46,"N/A")</f>
        <v>327.14715000000007</v>
      </c>
      <c r="P48" s="14" t="s">
        <v>118</v>
      </c>
      <c r="Q48" s="8"/>
      <c r="R48" s="15">
        <f>IFERROR(R8*R$46,"N/A")</f>
        <v>164.0232</v>
      </c>
      <c r="S48" s="16">
        <f>IFERROR(S8*R$46,"N/A")</f>
        <v>254.48775000000003</v>
      </c>
      <c r="T48" s="16">
        <f>IFERROR(T8*R$46,"N/A")</f>
        <v>375.43687500000004</v>
      </c>
      <c r="U48" s="17" t="s">
        <v>118</v>
      </c>
      <c r="W48" s="12" t="str">
        <f>IFERROR(W8*W$46,"N/A")</f>
        <v>N/A</v>
      </c>
      <c r="X48" s="13" t="str">
        <f>IFERROR(X8*W$46,"N/A")</f>
        <v>N/A</v>
      </c>
      <c r="Y48" s="13" t="str">
        <f>IFERROR(Y8*W$46,"N/A")</f>
        <v>N/A</v>
      </c>
      <c r="Z48" s="14" t="s">
        <v>118</v>
      </c>
      <c r="AA48" s="8"/>
      <c r="AB48" s="15" t="str">
        <f>IFERROR(AB8*AB$46,"N/A")</f>
        <v>N/A</v>
      </c>
      <c r="AC48" s="16" t="str">
        <f>IFERROR(AC8*AB$46,"N/A")</f>
        <v>N/A</v>
      </c>
      <c r="AD48" s="16" t="str">
        <f>IFERROR(AD8*AB$46,"N/A")</f>
        <v>N/A</v>
      </c>
      <c r="AE48" s="17" t="s">
        <v>118</v>
      </c>
      <c r="AF48" s="88"/>
      <c r="AG48" s="12">
        <f t="shared" ref="AG48:AI49" si="85">ROUNDDOWN(C48/(1-$AJ$2)*1.2,1)</f>
        <v>195</v>
      </c>
      <c r="AH48" s="13">
        <f t="shared" si="85"/>
        <v>301.89999999999998</v>
      </c>
      <c r="AI48" s="13">
        <f t="shared" si="85"/>
        <v>594.79999999999995</v>
      </c>
      <c r="AJ48" s="114" t="s">
        <v>118</v>
      </c>
      <c r="AK48" s="108"/>
      <c r="AL48" s="115">
        <f t="shared" ref="AL48:AL49" si="86">ROUNDDOWN(H48/(1-$AJ$2)*1.2,1)</f>
        <v>298.2</v>
      </c>
      <c r="AM48" s="16">
        <f t="shared" si="84"/>
        <v>462.6</v>
      </c>
      <c r="AN48" s="16">
        <f t="shared" si="84"/>
        <v>682.5</v>
      </c>
      <c r="AO48" s="117" t="s">
        <v>118</v>
      </c>
      <c r="AP48" s="88"/>
    </row>
    <row r="49" spans="1:42" ht="14.45" customHeight="1" x14ac:dyDescent="0.25">
      <c r="A49" s="222"/>
      <c r="B49" s="27" t="s">
        <v>25</v>
      </c>
      <c r="C49" s="112">
        <f>IFERROR(C9*C$46,"N/A")</f>
        <v>89.679750000000013</v>
      </c>
      <c r="D49" s="113">
        <f>IFERROR(D9*C$46,"N/A")</f>
        <v>148.13100000000003</v>
      </c>
      <c r="E49" s="113">
        <f>IFERROR(E9*C$46,"N/A")</f>
        <v>302.55675000000002</v>
      </c>
      <c r="F49" s="114" t="s">
        <v>118</v>
      </c>
      <c r="G49" s="108"/>
      <c r="H49" s="115">
        <f>IFERROR(H9*H$46,"N/A")</f>
        <v>137.25825</v>
      </c>
      <c r="I49" s="116">
        <f>IFERROR(I9*H$46,"N/A")</f>
        <v>216.14700000000002</v>
      </c>
      <c r="J49" s="116">
        <f>IFERROR(J9*H$46,"N/A")</f>
        <v>349.72650000000004</v>
      </c>
      <c r="K49" s="17" t="s">
        <v>118</v>
      </c>
      <c r="L49" s="8"/>
      <c r="M49" s="12">
        <f>IFERROR(M9*M$46,"N/A")</f>
        <v>118.34130000000002</v>
      </c>
      <c r="N49" s="13">
        <f>IFERROR(N9*M$46,"N/A")</f>
        <v>195.49695000000003</v>
      </c>
      <c r="O49" s="13">
        <f>IFERROR(O9*M$46,"N/A")</f>
        <v>399.35692500000005</v>
      </c>
      <c r="P49" s="14" t="s">
        <v>118</v>
      </c>
      <c r="Q49" s="8"/>
      <c r="R49" s="15">
        <f>IFERROR(R9*R$46,"N/A")</f>
        <v>181.19887500000002</v>
      </c>
      <c r="S49" s="16">
        <f>IFERROR(S9*R$46,"N/A")</f>
        <v>285.33202500000004</v>
      </c>
      <c r="T49" s="16">
        <f>IFERROR(T9*R$46,"N/A")</f>
        <v>461.67495000000014</v>
      </c>
      <c r="U49" s="17" t="s">
        <v>118</v>
      </c>
      <c r="W49" s="12" t="str">
        <f>IFERROR(W9*W$46,"N/A")</f>
        <v>N/A</v>
      </c>
      <c r="X49" s="13" t="str">
        <f>IFERROR(X9*W$46,"N/A")</f>
        <v>N/A</v>
      </c>
      <c r="Y49" s="13" t="str">
        <f>IFERROR(Y9*W$46,"N/A")</f>
        <v>N/A</v>
      </c>
      <c r="Z49" s="14" t="s">
        <v>118</v>
      </c>
      <c r="AA49" s="8"/>
      <c r="AB49" s="15" t="str">
        <f>IFERROR(AB9*AB$46,"N/A")</f>
        <v>N/A</v>
      </c>
      <c r="AC49" s="16" t="str">
        <f>IFERROR(AC9*AB$46,"N/A")</f>
        <v>N/A</v>
      </c>
      <c r="AD49" s="16" t="str">
        <f>IFERROR(AD9*AB$46,"N/A")</f>
        <v>N/A</v>
      </c>
      <c r="AE49" s="17" t="s">
        <v>118</v>
      </c>
      <c r="AF49" s="88"/>
      <c r="AG49" s="12">
        <f t="shared" si="85"/>
        <v>215.2</v>
      </c>
      <c r="AH49" s="13">
        <f t="shared" si="85"/>
        <v>355.5</v>
      </c>
      <c r="AI49" s="13">
        <f t="shared" si="85"/>
        <v>726.1</v>
      </c>
      <c r="AJ49" s="114" t="s">
        <v>118</v>
      </c>
      <c r="AK49" s="108"/>
      <c r="AL49" s="115">
        <f t="shared" si="86"/>
        <v>329.4</v>
      </c>
      <c r="AM49" s="16">
        <f t="shared" si="84"/>
        <v>518.70000000000005</v>
      </c>
      <c r="AN49" s="16">
        <f t="shared" si="84"/>
        <v>839.3</v>
      </c>
      <c r="AO49" s="117" t="s">
        <v>118</v>
      </c>
      <c r="AP49" s="88"/>
    </row>
    <row r="50" spans="1:42" ht="14.45" customHeight="1" x14ac:dyDescent="0.25">
      <c r="A50" s="222"/>
      <c r="B50" s="27" t="s">
        <v>26</v>
      </c>
      <c r="C50" s="12" t="s">
        <v>118</v>
      </c>
      <c r="D50" s="13" t="s">
        <v>118</v>
      </c>
      <c r="E50" s="13" t="s">
        <v>118</v>
      </c>
      <c r="F50" s="14" t="s">
        <v>118</v>
      </c>
      <c r="G50" s="8"/>
      <c r="H50" s="15" t="s">
        <v>118</v>
      </c>
      <c r="I50" s="16" t="s">
        <v>118</v>
      </c>
      <c r="J50" s="16" t="s">
        <v>118</v>
      </c>
      <c r="K50" s="17" t="s">
        <v>118</v>
      </c>
      <c r="L50" s="8"/>
      <c r="M50" s="12" t="s">
        <v>118</v>
      </c>
      <c r="N50" s="13" t="s">
        <v>118</v>
      </c>
      <c r="O50" s="13" t="s">
        <v>118</v>
      </c>
      <c r="P50" s="14" t="s">
        <v>118</v>
      </c>
      <c r="Q50" s="8"/>
      <c r="R50" s="15" t="s">
        <v>118</v>
      </c>
      <c r="S50" s="16" t="s">
        <v>118</v>
      </c>
      <c r="T50" s="16" t="s">
        <v>118</v>
      </c>
      <c r="U50" s="17" t="s">
        <v>118</v>
      </c>
      <c r="W50" s="12" t="s">
        <v>118</v>
      </c>
      <c r="X50" s="13" t="s">
        <v>118</v>
      </c>
      <c r="Y50" s="13" t="s">
        <v>118</v>
      </c>
      <c r="Z50" s="14" t="s">
        <v>118</v>
      </c>
      <c r="AA50" s="8"/>
      <c r="AB50" s="15" t="s">
        <v>118</v>
      </c>
      <c r="AC50" s="16" t="s">
        <v>118</v>
      </c>
      <c r="AD50" s="16" t="s">
        <v>118</v>
      </c>
      <c r="AE50" s="17" t="s">
        <v>118</v>
      </c>
      <c r="AF50" s="88"/>
      <c r="AG50" s="112" t="s">
        <v>118</v>
      </c>
      <c r="AH50" s="113" t="s">
        <v>118</v>
      </c>
      <c r="AI50" s="113" t="s">
        <v>118</v>
      </c>
      <c r="AJ50" s="114" t="s">
        <v>118</v>
      </c>
      <c r="AK50" s="108"/>
      <c r="AL50" s="15" t="s">
        <v>118</v>
      </c>
      <c r="AM50" s="116" t="s">
        <v>118</v>
      </c>
      <c r="AN50" s="116" t="s">
        <v>118</v>
      </c>
      <c r="AO50" s="117" t="s">
        <v>118</v>
      </c>
      <c r="AP50" s="88"/>
    </row>
    <row r="51" spans="1:42" ht="14.45" customHeight="1" x14ac:dyDescent="0.25">
      <c r="A51" s="222"/>
      <c r="B51" s="27" t="s">
        <v>27</v>
      </c>
      <c r="C51" s="12" t="s">
        <v>118</v>
      </c>
      <c r="D51" s="13" t="s">
        <v>118</v>
      </c>
      <c r="E51" s="13" t="s">
        <v>118</v>
      </c>
      <c r="F51" s="14" t="s">
        <v>118</v>
      </c>
      <c r="G51" s="8"/>
      <c r="H51" s="15" t="s">
        <v>118</v>
      </c>
      <c r="I51" s="16" t="s">
        <v>118</v>
      </c>
      <c r="J51" s="16" t="s">
        <v>118</v>
      </c>
      <c r="K51" s="17" t="s">
        <v>118</v>
      </c>
      <c r="L51" s="8"/>
      <c r="M51" s="12" t="s">
        <v>118</v>
      </c>
      <c r="N51" s="13" t="s">
        <v>118</v>
      </c>
      <c r="O51" s="13" t="s">
        <v>118</v>
      </c>
      <c r="P51" s="14" t="s">
        <v>118</v>
      </c>
      <c r="Q51" s="8"/>
      <c r="R51" s="15" t="s">
        <v>118</v>
      </c>
      <c r="S51" s="16" t="s">
        <v>118</v>
      </c>
      <c r="T51" s="16" t="s">
        <v>118</v>
      </c>
      <c r="U51" s="17" t="s">
        <v>118</v>
      </c>
      <c r="W51" s="12" t="s">
        <v>118</v>
      </c>
      <c r="X51" s="13" t="s">
        <v>118</v>
      </c>
      <c r="Y51" s="13" t="s">
        <v>118</v>
      </c>
      <c r="Z51" s="14" t="s">
        <v>118</v>
      </c>
      <c r="AA51" s="8"/>
      <c r="AB51" s="15" t="s">
        <v>118</v>
      </c>
      <c r="AC51" s="16" t="s">
        <v>118</v>
      </c>
      <c r="AD51" s="16" t="s">
        <v>118</v>
      </c>
      <c r="AE51" s="17" t="s">
        <v>118</v>
      </c>
      <c r="AF51" s="88"/>
      <c r="AG51" s="112" t="s">
        <v>118</v>
      </c>
      <c r="AH51" s="113" t="s">
        <v>118</v>
      </c>
      <c r="AI51" s="113" t="s">
        <v>118</v>
      </c>
      <c r="AJ51" s="114" t="s">
        <v>118</v>
      </c>
      <c r="AK51" s="108"/>
      <c r="AL51" s="115" t="s">
        <v>118</v>
      </c>
      <c r="AM51" s="116" t="s">
        <v>118</v>
      </c>
      <c r="AN51" s="116" t="s">
        <v>118</v>
      </c>
      <c r="AO51" s="117" t="s">
        <v>118</v>
      </c>
      <c r="AP51" s="88"/>
    </row>
    <row r="52" spans="1:42" ht="14.45" customHeight="1" thickBot="1" x14ac:dyDescent="0.3">
      <c r="A52" s="223"/>
      <c r="B52" s="27" t="s">
        <v>29</v>
      </c>
      <c r="C52" s="12" t="str">
        <f>IFERROR(C20*C$38,"N/A")</f>
        <v>N/A</v>
      </c>
      <c r="D52" s="13" t="s">
        <v>118</v>
      </c>
      <c r="E52" s="13" t="s">
        <v>118</v>
      </c>
      <c r="F52" s="14" t="s">
        <v>118</v>
      </c>
      <c r="G52" s="8"/>
      <c r="H52" s="15" t="s">
        <v>118</v>
      </c>
      <c r="I52" s="16" t="s">
        <v>118</v>
      </c>
      <c r="J52" s="16" t="s">
        <v>118</v>
      </c>
      <c r="K52" s="17" t="s">
        <v>118</v>
      </c>
      <c r="L52" s="8"/>
      <c r="M52" s="12" t="str">
        <f>IFERROR(M20*M$38,"N/A")</f>
        <v>N/A</v>
      </c>
      <c r="N52" s="13" t="s">
        <v>118</v>
      </c>
      <c r="O52" s="13" t="s">
        <v>118</v>
      </c>
      <c r="P52" s="14" t="s">
        <v>118</v>
      </c>
      <c r="Q52" s="8"/>
      <c r="R52" s="15" t="s">
        <v>118</v>
      </c>
      <c r="S52" s="16" t="s">
        <v>118</v>
      </c>
      <c r="T52" s="16" t="s">
        <v>118</v>
      </c>
      <c r="U52" s="17" t="s">
        <v>118</v>
      </c>
      <c r="W52" s="12" t="str">
        <f>IFERROR(W20*W$38,"N/A")</f>
        <v>N/A</v>
      </c>
      <c r="X52" s="13" t="s">
        <v>118</v>
      </c>
      <c r="Y52" s="13" t="s">
        <v>118</v>
      </c>
      <c r="Z52" s="14" t="s">
        <v>118</v>
      </c>
      <c r="AA52" s="8"/>
      <c r="AB52" s="15" t="s">
        <v>118</v>
      </c>
      <c r="AC52" s="16" t="s">
        <v>118</v>
      </c>
      <c r="AD52" s="16" t="s">
        <v>118</v>
      </c>
      <c r="AE52" s="17" t="s">
        <v>118</v>
      </c>
      <c r="AF52" s="88"/>
      <c r="AG52" s="112" t="str">
        <f>IFERROR(AG20*AG$38,"N/A")</f>
        <v>N/A</v>
      </c>
      <c r="AH52" s="113" t="s">
        <v>118</v>
      </c>
      <c r="AI52" s="113" t="s">
        <v>118</v>
      </c>
      <c r="AJ52" s="114" t="s">
        <v>118</v>
      </c>
      <c r="AK52" s="108"/>
      <c r="AL52" s="115" t="s">
        <v>118</v>
      </c>
      <c r="AM52" s="116" t="s">
        <v>118</v>
      </c>
      <c r="AN52" s="116" t="s">
        <v>118</v>
      </c>
      <c r="AO52" s="117" t="s">
        <v>118</v>
      </c>
      <c r="AP52" s="88"/>
    </row>
  </sheetData>
  <mergeCells count="21">
    <mergeCell ref="AR2:BB2"/>
    <mergeCell ref="C3:F3"/>
    <mergeCell ref="H3:K3"/>
    <mergeCell ref="M3:P3"/>
    <mergeCell ref="R3:U3"/>
    <mergeCell ref="W3:Z3"/>
    <mergeCell ref="AS3:AV3"/>
    <mergeCell ref="AW3:AZ3"/>
    <mergeCell ref="A7:A12"/>
    <mergeCell ref="C1:K1"/>
    <mergeCell ref="M1:U1"/>
    <mergeCell ref="W1:AE1"/>
    <mergeCell ref="AG1:AO1"/>
    <mergeCell ref="AB3:AE3"/>
    <mergeCell ref="AG3:AJ3"/>
    <mergeCell ref="AL3:AO3"/>
    <mergeCell ref="A15:A20"/>
    <mergeCell ref="A23:A28"/>
    <mergeCell ref="A31:A36"/>
    <mergeCell ref="A39:A44"/>
    <mergeCell ref="A47:A5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349D0-06A1-4EEB-8489-2B0DBD2E1790}">
  <dimension ref="A1:BN99"/>
  <sheetViews>
    <sheetView tabSelected="1" zoomScale="80" zoomScaleNormal="80" workbookViewId="0">
      <pane xSplit="2" ySplit="3" topLeftCell="C27" activePane="bottomRight" state="frozen"/>
      <selection pane="topRight" activeCell="C1" sqref="C1"/>
      <selection pane="bottomLeft" activeCell="A4" sqref="A4"/>
      <selection pane="bottomRight" activeCell="A2" sqref="A2"/>
    </sheetView>
  </sheetViews>
  <sheetFormatPr defaultColWidth="8.85546875" defaultRowHeight="15" x14ac:dyDescent="0.25"/>
  <cols>
    <col min="1" max="1" width="50.7109375" style="1" customWidth="1"/>
    <col min="2" max="2" width="11.5703125" style="1" customWidth="1"/>
    <col min="3" max="4" width="9.7109375" style="1" customWidth="1"/>
    <col min="5" max="5" width="3.5703125" style="1" customWidth="1"/>
    <col min="6" max="7" width="7.7109375" style="1" customWidth="1"/>
    <col min="8" max="8" width="4" style="1" customWidth="1"/>
    <col min="9" max="10" width="6.7109375" style="1" customWidth="1"/>
    <col min="11" max="11" width="4" style="1" customWidth="1"/>
    <col min="12" max="13" width="7.7109375" style="1" customWidth="1"/>
    <col min="14" max="14" width="5.5703125" style="1" customWidth="1"/>
    <col min="15" max="16" width="7.7109375" style="1" customWidth="1"/>
    <col min="17" max="17" width="5.5703125" style="1" customWidth="1"/>
    <col min="18" max="18" width="6.5703125" style="1" bestFit="1" customWidth="1"/>
    <col min="19" max="19" width="7.85546875" style="1" bestFit="1" customWidth="1"/>
    <col min="20" max="20" width="5.5703125" style="1" customWidth="1"/>
    <col min="21" max="22" width="12.5703125" style="1" customWidth="1"/>
    <col min="23" max="23" width="3" style="1" customWidth="1"/>
    <col min="24" max="25" width="10.7109375" style="1" customWidth="1"/>
    <col min="26" max="26" width="5.7109375" style="1" bestFit="1" customWidth="1"/>
    <col min="27" max="28" width="8.140625" style="1" bestFit="1" customWidth="1"/>
    <col min="29" max="29" width="5.7109375" style="1" customWidth="1"/>
    <col min="30" max="31" width="9.7109375" style="1" customWidth="1"/>
    <col min="32" max="32" width="5.7109375" style="1" customWidth="1"/>
    <col min="33" max="34" width="6.7109375" style="1" bestFit="1" customWidth="1"/>
    <col min="35" max="35" width="5.7109375" style="1" customWidth="1"/>
    <col min="36" max="36" width="7.140625" style="1" bestFit="1" customWidth="1"/>
    <col min="37" max="37" width="6.140625" style="1" bestFit="1" customWidth="1"/>
    <col min="38" max="38" width="7.7109375" style="1" bestFit="1" customWidth="1"/>
    <col min="39" max="40" width="8" style="1" bestFit="1" customWidth="1"/>
    <col min="41" max="41" width="3.28515625" style="1" customWidth="1"/>
    <col min="42" max="42" width="5.140625" style="1" bestFit="1" customWidth="1"/>
    <col min="43" max="43" width="6.140625" style="1" bestFit="1" customWidth="1"/>
    <col min="44" max="44" width="5.140625" style="1" customWidth="1"/>
    <col min="45" max="46" width="6.5703125" style="1" bestFit="1" customWidth="1"/>
    <col min="47" max="47" width="5.140625" style="1" customWidth="1"/>
    <col min="48" max="48" width="8.85546875" style="1" customWidth="1"/>
    <col min="49" max="49" width="8" style="1" customWidth="1"/>
    <col min="50" max="50" width="5.42578125" style="1" customWidth="1"/>
    <col min="51" max="52" width="6.7109375" style="1" customWidth="1"/>
    <col min="53" max="53" width="5.42578125" style="1" customWidth="1"/>
    <col min="54" max="55" width="8" style="1" customWidth="1"/>
    <col min="56" max="56" width="6.140625" style="1" customWidth="1"/>
    <col min="57" max="58" width="8" style="1" bestFit="1" customWidth="1"/>
    <col min="59" max="62" width="6.140625" style="1" customWidth="1"/>
    <col min="63" max="64" width="8" style="1" customWidth="1"/>
    <col min="65" max="65" width="1.42578125" style="1" customWidth="1"/>
    <col min="66" max="67" width="8.7109375" style="1" customWidth="1"/>
    <col min="68" max="68" width="8.85546875" style="1" customWidth="1"/>
    <col min="69" max="16384" width="8.85546875" style="1"/>
  </cols>
  <sheetData>
    <row r="1" spans="1:61" ht="15" customHeight="1" thickBot="1" x14ac:dyDescent="0.3">
      <c r="A1" s="201" t="s">
        <v>198</v>
      </c>
      <c r="C1" s="171" t="s">
        <v>0</v>
      </c>
      <c r="D1" s="163">
        <v>0.02</v>
      </c>
      <c r="E1" s="38"/>
      <c r="F1" s="38"/>
      <c r="G1" s="193">
        <v>0.1</v>
      </c>
      <c r="H1" s="170" t="s">
        <v>1</v>
      </c>
      <c r="M1" s="91">
        <v>0.1</v>
      </c>
      <c r="X1" s="91">
        <v>0.5</v>
      </c>
      <c r="AL1" s="91">
        <v>0.1</v>
      </c>
      <c r="AM1" s="220"/>
      <c r="AN1" s="220"/>
    </row>
    <row r="2" spans="1:61" ht="45" customHeight="1" x14ac:dyDescent="0.25">
      <c r="B2" s="39"/>
      <c r="C2" s="217" t="s">
        <v>2</v>
      </c>
      <c r="D2" s="217"/>
      <c r="E2" s="90"/>
      <c r="F2" s="218" t="s">
        <v>3</v>
      </c>
      <c r="G2" s="218"/>
      <c r="H2" s="52"/>
      <c r="I2" s="212" t="s">
        <v>4</v>
      </c>
      <c r="J2" s="212"/>
      <c r="K2" s="52"/>
      <c r="L2" s="219" t="s">
        <v>5</v>
      </c>
      <c r="M2" s="219"/>
      <c r="N2" s="52"/>
      <c r="O2" s="219" t="s">
        <v>6</v>
      </c>
      <c r="P2" s="219"/>
      <c r="Q2" s="52"/>
      <c r="R2" s="219" t="s">
        <v>7</v>
      </c>
      <c r="S2" s="219"/>
      <c r="T2" s="52"/>
      <c r="U2" s="214" t="s">
        <v>8</v>
      </c>
      <c r="V2" s="214"/>
      <c r="W2" s="52"/>
      <c r="X2" s="211" t="s">
        <v>9</v>
      </c>
      <c r="Y2" s="211"/>
      <c r="AA2" s="215" t="s">
        <v>10</v>
      </c>
      <c r="AB2" s="215"/>
      <c r="AD2" s="211" t="s">
        <v>11</v>
      </c>
      <c r="AE2" s="211"/>
      <c r="AG2" s="211" t="s">
        <v>12</v>
      </c>
      <c r="AH2" s="211"/>
      <c r="AJ2" s="211" t="s">
        <v>13</v>
      </c>
      <c r="AK2" s="211"/>
      <c r="AM2" s="211" t="s">
        <v>14</v>
      </c>
      <c r="AN2" s="211"/>
      <c r="AP2" s="212" t="s">
        <v>15</v>
      </c>
      <c r="AQ2" s="212"/>
      <c r="AS2" s="219" t="s">
        <v>16</v>
      </c>
      <c r="AT2" s="219"/>
      <c r="AV2" s="213" t="s">
        <v>17</v>
      </c>
      <c r="AW2" s="213"/>
      <c r="AY2" s="213" t="s">
        <v>18</v>
      </c>
      <c r="AZ2" s="213"/>
      <c r="BB2" s="213" t="s">
        <v>19</v>
      </c>
      <c r="BC2" s="213"/>
    </row>
    <row r="3" spans="1:61" s="34" customFormat="1" x14ac:dyDescent="0.25">
      <c r="C3" s="54" t="s">
        <v>20</v>
      </c>
      <c r="D3" s="54" t="s">
        <v>21</v>
      </c>
      <c r="E3" s="54"/>
      <c r="F3" s="34" t="s">
        <v>20</v>
      </c>
      <c r="G3" s="54" t="s">
        <v>21</v>
      </c>
      <c r="I3" s="34" t="s">
        <v>20</v>
      </c>
      <c r="J3" s="54" t="s">
        <v>21</v>
      </c>
      <c r="L3" s="34" t="s">
        <v>20</v>
      </c>
      <c r="M3" s="54" t="s">
        <v>21</v>
      </c>
      <c r="O3" s="34" t="s">
        <v>20</v>
      </c>
      <c r="P3" s="54" t="s">
        <v>21</v>
      </c>
      <c r="R3" s="34" t="s">
        <v>20</v>
      </c>
      <c r="S3" s="54" t="s">
        <v>21</v>
      </c>
      <c r="U3" s="34" t="s">
        <v>20</v>
      </c>
      <c r="V3" s="34" t="s">
        <v>21</v>
      </c>
      <c r="X3" s="34" t="s">
        <v>20</v>
      </c>
      <c r="Y3" s="34" t="s">
        <v>21</v>
      </c>
      <c r="AA3" s="34" t="s">
        <v>20</v>
      </c>
      <c r="AB3" s="34" t="s">
        <v>21</v>
      </c>
      <c r="AD3" s="34" t="s">
        <v>20</v>
      </c>
      <c r="AE3" s="34" t="s">
        <v>21</v>
      </c>
      <c r="AG3" s="34" t="s">
        <v>20</v>
      </c>
      <c r="AH3" s="34" t="s">
        <v>21</v>
      </c>
      <c r="AJ3" s="34" t="s">
        <v>20</v>
      </c>
      <c r="AK3" s="34" t="s">
        <v>21</v>
      </c>
      <c r="AM3" s="34" t="s">
        <v>20</v>
      </c>
      <c r="AN3" s="34" t="s">
        <v>21</v>
      </c>
      <c r="AP3" s="34" t="s">
        <v>20</v>
      </c>
      <c r="AQ3" s="34" t="s">
        <v>21</v>
      </c>
      <c r="AS3" s="34" t="s">
        <v>20</v>
      </c>
      <c r="AT3" s="34" t="s">
        <v>21</v>
      </c>
      <c r="AV3" s="34" t="s">
        <v>20</v>
      </c>
      <c r="AW3" s="54" t="s">
        <v>21</v>
      </c>
      <c r="AY3" s="34" t="s">
        <v>20</v>
      </c>
      <c r="AZ3" s="54" t="s">
        <v>21</v>
      </c>
      <c r="BB3" s="34" t="s">
        <v>20</v>
      </c>
      <c r="BC3" s="54" t="s">
        <v>21</v>
      </c>
    </row>
    <row r="4" spans="1:61" x14ac:dyDescent="0.25">
      <c r="B4" s="32" t="s">
        <v>22</v>
      </c>
      <c r="C4" s="40"/>
      <c r="D4" s="40"/>
      <c r="E4" s="40"/>
      <c r="F4" s="40"/>
      <c r="L4" s="39"/>
      <c r="M4" s="41"/>
      <c r="AA4" s="39"/>
      <c r="AB4" s="39"/>
    </row>
    <row r="5" spans="1:61" x14ac:dyDescent="0.25">
      <c r="B5" s="25" t="s">
        <v>23</v>
      </c>
      <c r="C5" s="149">
        <f>ROUND('ST Standard from 4 Jun26'!C5+'ST Inc Cruise from 4 Jun26'!$B$97,2)</f>
        <v>10.7</v>
      </c>
      <c r="D5" s="149">
        <f>ROUND('ST Standard from 4 Jun26'!D5+'ST Inc Cruise from 4 Jun26'!$B$97,2)</f>
        <v>15.8</v>
      </c>
      <c r="E5" s="41"/>
      <c r="F5" s="41">
        <f t="shared" ref="F5:G9" si="0">C5*SUM(1+$G$1/$X$1)</f>
        <v>12.839999999999998</v>
      </c>
      <c r="G5" s="41">
        <f t="shared" si="0"/>
        <v>18.96</v>
      </c>
      <c r="H5" s="82"/>
      <c r="I5" s="41">
        <f>F5-C5</f>
        <v>2.1399999999999988</v>
      </c>
      <c r="J5" s="41">
        <f>G5-D5</f>
        <v>3.16</v>
      </c>
      <c r="K5" s="82"/>
      <c r="L5" s="41">
        <f>ROUND(C5*(1+$G$1*2),2)*SUM(1+$M$1)</f>
        <v>14.124000000000001</v>
      </c>
      <c r="M5" s="41">
        <f t="shared" ref="L5:M9" si="1">ROUND(D5*(1+$G$1*2),2)*SUM(1+$M$1)</f>
        <v>20.856000000000002</v>
      </c>
      <c r="N5" s="82"/>
      <c r="O5" s="41">
        <f>L5-C5</f>
        <v>3.4240000000000013</v>
      </c>
      <c r="P5" s="41">
        <f>M5-D5</f>
        <v>5.0560000000000009</v>
      </c>
      <c r="Q5" s="82"/>
      <c r="R5" s="76">
        <f t="shared" ref="R5:S9" si="2">AJ5/F5</f>
        <v>9.9688473520249232E-2</v>
      </c>
      <c r="S5" s="76">
        <f t="shared" si="2"/>
        <v>0.10021097046413502</v>
      </c>
      <c r="T5" s="82"/>
      <c r="U5" s="41">
        <f t="shared" ref="U5:V9" si="3">SUM(C5/(1-$X$1))</f>
        <v>21.4</v>
      </c>
      <c r="V5" s="41">
        <f t="shared" si="3"/>
        <v>31.6</v>
      </c>
      <c r="W5" s="82"/>
      <c r="X5" s="41">
        <f>ROUND(C5/(1-$X$1)*1.2,2)</f>
        <v>25.68</v>
      </c>
      <c r="Y5" s="41">
        <f>ROUND(D5/(1-$X$1)*1.2,2)</f>
        <v>37.92</v>
      </c>
      <c r="AA5" s="182">
        <f>ROUNDDOWN(C5/(1-$X$1)*1.2,1)</f>
        <v>25.6</v>
      </c>
      <c r="AB5" s="182">
        <f>ROUNDDOWN(D5/(1-$X$1)*1.2,1)</f>
        <v>37.9</v>
      </c>
      <c r="AD5" s="40">
        <f>AA5/1.2</f>
        <v>21.333333333333336</v>
      </c>
      <c r="AE5" s="40">
        <f>AB5/1.2</f>
        <v>31.583333333333332</v>
      </c>
      <c r="AG5" s="40">
        <f>X5-AA5</f>
        <v>7.9999999999998295E-2</v>
      </c>
      <c r="AH5" s="40">
        <f>Y5-AB5</f>
        <v>2.0000000000003126E-2</v>
      </c>
      <c r="AJ5" s="40">
        <f t="shared" ref="AJ5:AK9" si="4">ROUND(L5*(1-(1/(1+$AL$1))),2)</f>
        <v>1.28</v>
      </c>
      <c r="AK5" s="40">
        <f t="shared" si="4"/>
        <v>1.9</v>
      </c>
      <c r="AL5" s="40"/>
      <c r="AM5" s="180">
        <f>SUM(U5-F5)-AG5</f>
        <v>8.4800000000000022</v>
      </c>
      <c r="AN5" s="180">
        <f>SUM(V5-G5)-AH5</f>
        <v>12.619999999999997</v>
      </c>
      <c r="AP5" s="76">
        <f t="shared" ref="AP5:AQ9" si="5">(SUM(F5-C5)/C5)*$X$1</f>
        <v>9.999999999999995E-2</v>
      </c>
      <c r="AQ5" s="76">
        <f t="shared" si="5"/>
        <v>0.1</v>
      </c>
      <c r="AS5" s="76">
        <f t="shared" ref="AS5:AT9" si="6">AM5/U5</f>
        <v>0.3962616822429908</v>
      </c>
      <c r="AT5" s="76">
        <f t="shared" si="6"/>
        <v>0.39936708860759484</v>
      </c>
      <c r="AU5" s="40"/>
      <c r="AV5" s="76">
        <f t="shared" ref="AV5:AW9" si="7">C5/U5</f>
        <v>0.5</v>
      </c>
      <c r="AW5" s="76">
        <f t="shared" si="7"/>
        <v>0.5</v>
      </c>
      <c r="AX5" s="42"/>
      <c r="AY5" s="42">
        <f t="shared" ref="AY5:AZ9" si="8">I5+AM5</f>
        <v>10.620000000000001</v>
      </c>
      <c r="AZ5" s="42">
        <f t="shared" si="8"/>
        <v>15.779999999999998</v>
      </c>
      <c r="BA5" s="42"/>
      <c r="BB5" s="76">
        <f t="shared" ref="BB5:BC9" si="9">AY5/(C5/$X$1)</f>
        <v>0.49626168224299072</v>
      </c>
      <c r="BC5" s="76">
        <f t="shared" si="9"/>
        <v>0.49936708860759482</v>
      </c>
      <c r="BE5" s="40"/>
      <c r="BF5" s="40"/>
      <c r="BG5" s="40"/>
      <c r="BH5" s="40"/>
      <c r="BI5" s="76"/>
    </row>
    <row r="6" spans="1:61" x14ac:dyDescent="0.25">
      <c r="B6" s="25" t="s">
        <v>24</v>
      </c>
      <c r="C6" s="149">
        <f>ROUND('ST Standard from 4 Jun26'!C6+'ST Inc Cruise from 4 Jun26'!$B$97,2)</f>
        <v>11.18</v>
      </c>
      <c r="D6" s="149">
        <f>ROUND('ST Standard from 4 Jun26'!D6+'ST Inc Cruise from 4 Jun26'!$B$97,2)</f>
        <v>16.54</v>
      </c>
      <c r="E6" s="41"/>
      <c r="F6" s="41">
        <f t="shared" si="0"/>
        <v>13.415999999999999</v>
      </c>
      <c r="G6" s="41">
        <f t="shared" si="0"/>
        <v>19.847999999999999</v>
      </c>
      <c r="H6" s="82"/>
      <c r="I6" s="41">
        <f t="shared" ref="I6:J9" si="10">F6-C6</f>
        <v>2.2359999999999989</v>
      </c>
      <c r="J6" s="41">
        <f t="shared" si="10"/>
        <v>3.3079999999999998</v>
      </c>
      <c r="K6" s="82"/>
      <c r="L6" s="41">
        <f t="shared" si="1"/>
        <v>14.762</v>
      </c>
      <c r="M6" s="41">
        <f t="shared" si="1"/>
        <v>21.835000000000004</v>
      </c>
      <c r="N6" s="82"/>
      <c r="O6" s="41">
        <f t="shared" ref="O6:P9" si="11">L6-C6</f>
        <v>3.5820000000000007</v>
      </c>
      <c r="P6" s="41">
        <f t="shared" si="11"/>
        <v>5.2950000000000053</v>
      </c>
      <c r="Q6" s="82"/>
      <c r="R6" s="76">
        <f t="shared" si="2"/>
        <v>9.9880739415623157E-2</v>
      </c>
      <c r="S6" s="76">
        <f t="shared" si="2"/>
        <v>0.10026199113260782</v>
      </c>
      <c r="T6" s="82"/>
      <c r="U6" s="41">
        <f t="shared" si="3"/>
        <v>22.36</v>
      </c>
      <c r="V6" s="41">
        <f t="shared" si="3"/>
        <v>33.08</v>
      </c>
      <c r="W6" s="82"/>
      <c r="X6" s="41">
        <f t="shared" ref="X6:Y9" si="12">ROUND(C6/(1-$X$1)*1.2,2)</f>
        <v>26.83</v>
      </c>
      <c r="Y6" s="41">
        <f t="shared" si="12"/>
        <v>39.700000000000003</v>
      </c>
      <c r="AA6" s="182">
        <f t="shared" ref="AA6:AB9" si="13">ROUNDDOWN(C6/(1-$X$1)*1.2,1)</f>
        <v>26.8</v>
      </c>
      <c r="AB6" s="182">
        <f t="shared" si="13"/>
        <v>39.6</v>
      </c>
      <c r="AD6" s="40">
        <f t="shared" ref="AD6:AE9" si="14">AA6/1.2</f>
        <v>22.333333333333336</v>
      </c>
      <c r="AE6" s="40">
        <f t="shared" si="14"/>
        <v>33</v>
      </c>
      <c r="AG6" s="40">
        <f t="shared" ref="AG6:AH9" si="15">X6-AA6</f>
        <v>2.9999999999997584E-2</v>
      </c>
      <c r="AH6" s="40">
        <f t="shared" si="15"/>
        <v>0.10000000000000142</v>
      </c>
      <c r="AJ6" s="40">
        <f t="shared" si="4"/>
        <v>1.34</v>
      </c>
      <c r="AK6" s="40">
        <f t="shared" si="4"/>
        <v>1.99</v>
      </c>
      <c r="AL6" s="40"/>
      <c r="AM6" s="180">
        <f t="shared" ref="AM6:AN9" si="16">SUM(U6-F6)-AG6</f>
        <v>8.9140000000000033</v>
      </c>
      <c r="AN6" s="180">
        <f t="shared" si="16"/>
        <v>13.131999999999998</v>
      </c>
      <c r="AP6" s="76">
        <f t="shared" si="5"/>
        <v>9.999999999999995E-2</v>
      </c>
      <c r="AQ6" s="76">
        <f t="shared" si="5"/>
        <v>0.1</v>
      </c>
      <c r="AS6" s="76">
        <f t="shared" si="6"/>
        <v>0.39865831842576044</v>
      </c>
      <c r="AT6" s="76">
        <f t="shared" si="6"/>
        <v>0.39697702539298668</v>
      </c>
      <c r="AV6" s="76">
        <f t="shared" si="7"/>
        <v>0.5</v>
      </c>
      <c r="AW6" s="76">
        <f t="shared" si="7"/>
        <v>0.5</v>
      </c>
      <c r="AX6" s="42"/>
      <c r="AY6" s="42">
        <f t="shared" si="8"/>
        <v>11.150000000000002</v>
      </c>
      <c r="AZ6" s="42">
        <f t="shared" si="8"/>
        <v>16.439999999999998</v>
      </c>
      <c r="BA6" s="42"/>
      <c r="BB6" s="76">
        <f t="shared" si="9"/>
        <v>0.49865831842576042</v>
      </c>
      <c r="BC6" s="76">
        <f t="shared" si="9"/>
        <v>0.49697702539298666</v>
      </c>
    </row>
    <row r="7" spans="1:61" x14ac:dyDescent="0.25">
      <c r="B7" s="25" t="s">
        <v>25</v>
      </c>
      <c r="C7" s="149">
        <f>ROUND('ST Standard from 4 Jun26'!C7+'ST Inc Cruise from 4 Jun26'!$B$97,2)</f>
        <v>12.23</v>
      </c>
      <c r="D7" s="149">
        <f>ROUND('ST Standard from 4 Jun26'!D7+'ST Inc Cruise from 4 Jun26'!$B$97,2)</f>
        <v>18.170000000000002</v>
      </c>
      <c r="E7" s="41"/>
      <c r="F7" s="41">
        <f t="shared" si="0"/>
        <v>14.676</v>
      </c>
      <c r="G7" s="41">
        <f t="shared" si="0"/>
        <v>21.804000000000002</v>
      </c>
      <c r="H7" s="82"/>
      <c r="I7" s="41">
        <f t="shared" si="10"/>
        <v>2.4459999999999997</v>
      </c>
      <c r="J7" s="41">
        <f t="shared" si="10"/>
        <v>3.6340000000000003</v>
      </c>
      <c r="K7" s="82"/>
      <c r="L7" s="41">
        <f>ROUND(C7*(1+$G$1*2),2)*SUM(1+$M$1)</f>
        <v>16.148</v>
      </c>
      <c r="M7" s="41">
        <f t="shared" si="1"/>
        <v>23.980000000000004</v>
      </c>
      <c r="N7" s="82"/>
      <c r="O7" s="41">
        <f t="shared" si="11"/>
        <v>3.9179999999999993</v>
      </c>
      <c r="P7" s="41">
        <f t="shared" si="11"/>
        <v>5.8100000000000023</v>
      </c>
      <c r="Q7" s="82"/>
      <c r="R7" s="76">
        <f t="shared" si="2"/>
        <v>0.10016353229762878</v>
      </c>
      <c r="S7" s="76">
        <f t="shared" si="2"/>
        <v>9.9981654742249126E-2</v>
      </c>
      <c r="T7" s="82"/>
      <c r="U7" s="41">
        <f t="shared" si="3"/>
        <v>24.46</v>
      </c>
      <c r="V7" s="41">
        <f t="shared" si="3"/>
        <v>36.340000000000003</v>
      </c>
      <c r="W7" s="82"/>
      <c r="X7" s="41">
        <f t="shared" si="12"/>
        <v>29.35</v>
      </c>
      <c r="Y7" s="41">
        <f t="shared" si="12"/>
        <v>43.61</v>
      </c>
      <c r="AA7" s="182">
        <f t="shared" si="13"/>
        <v>29.3</v>
      </c>
      <c r="AB7" s="182">
        <f t="shared" si="13"/>
        <v>43.6</v>
      </c>
      <c r="AD7" s="40">
        <f t="shared" si="14"/>
        <v>24.416666666666668</v>
      </c>
      <c r="AE7" s="40">
        <f t="shared" si="14"/>
        <v>36.333333333333336</v>
      </c>
      <c r="AG7" s="40">
        <f t="shared" si="15"/>
        <v>5.0000000000000711E-2</v>
      </c>
      <c r="AH7" s="40">
        <f t="shared" si="15"/>
        <v>9.9999999999980105E-3</v>
      </c>
      <c r="AJ7" s="40">
        <f>ROUND(L7*(1-(1/(1+$AL$1))),2)</f>
        <v>1.47</v>
      </c>
      <c r="AK7" s="40">
        <f t="shared" si="4"/>
        <v>2.1800000000000002</v>
      </c>
      <c r="AL7" s="40"/>
      <c r="AM7" s="180">
        <f t="shared" si="16"/>
        <v>9.734</v>
      </c>
      <c r="AN7" s="180">
        <f t="shared" si="16"/>
        <v>14.526000000000003</v>
      </c>
      <c r="AP7" s="76">
        <f t="shared" si="5"/>
        <v>9.9999999999999992E-2</v>
      </c>
      <c r="AQ7" s="76">
        <f t="shared" si="5"/>
        <v>0.1</v>
      </c>
      <c r="AS7" s="76">
        <f t="shared" si="6"/>
        <v>0.3979558462796402</v>
      </c>
      <c r="AT7" s="76">
        <f t="shared" si="6"/>
        <v>0.39972482113373697</v>
      </c>
      <c r="AV7" s="76">
        <f t="shared" si="7"/>
        <v>0.5</v>
      </c>
      <c r="AW7" s="76">
        <f t="shared" si="7"/>
        <v>0.5</v>
      </c>
      <c r="AX7" s="42"/>
      <c r="AY7" s="42">
        <f t="shared" si="8"/>
        <v>12.18</v>
      </c>
      <c r="AZ7" s="42">
        <f t="shared" si="8"/>
        <v>18.160000000000004</v>
      </c>
      <c r="BA7" s="42"/>
      <c r="BB7" s="76">
        <f t="shared" si="9"/>
        <v>0.49795584627964018</v>
      </c>
      <c r="BC7" s="76">
        <f t="shared" si="9"/>
        <v>0.49972482113373701</v>
      </c>
    </row>
    <row r="8" spans="1:61" x14ac:dyDescent="0.25">
      <c r="B8" s="25" t="s">
        <v>26</v>
      </c>
      <c r="C8" s="149">
        <f>ROUND('ST Standard from 4 Jun26'!C8+'ST Inc Cruise from 4 Jun26'!$B$97,2)</f>
        <v>13.38</v>
      </c>
      <c r="D8" s="149">
        <f>ROUND('ST Standard from 4 Jun26'!D8+'ST Inc Cruise from 4 Jun26'!$B$97,2)</f>
        <v>19.899999999999999</v>
      </c>
      <c r="E8" s="41"/>
      <c r="F8" s="41">
        <f t="shared" si="0"/>
        <v>16.056000000000001</v>
      </c>
      <c r="G8" s="41">
        <f t="shared" si="0"/>
        <v>23.88</v>
      </c>
      <c r="H8" s="82"/>
      <c r="I8" s="41">
        <f t="shared" si="10"/>
        <v>2.6760000000000002</v>
      </c>
      <c r="J8" s="41">
        <f t="shared" si="10"/>
        <v>3.9800000000000004</v>
      </c>
      <c r="K8" s="82"/>
      <c r="L8" s="41">
        <f t="shared" si="1"/>
        <v>17.666</v>
      </c>
      <c r="M8" s="41">
        <f t="shared" si="1"/>
        <v>26.268000000000001</v>
      </c>
      <c r="N8" s="82"/>
      <c r="O8" s="41">
        <f t="shared" si="11"/>
        <v>4.2859999999999996</v>
      </c>
      <c r="P8" s="41">
        <f t="shared" si="11"/>
        <v>6.3680000000000021</v>
      </c>
      <c r="Q8" s="82"/>
      <c r="R8" s="76">
        <f t="shared" si="2"/>
        <v>0.10027404085700049</v>
      </c>
      <c r="S8" s="76">
        <f t="shared" si="2"/>
        <v>0.10008375209380235</v>
      </c>
      <c r="T8" s="82"/>
      <c r="U8" s="41">
        <f t="shared" si="3"/>
        <v>26.76</v>
      </c>
      <c r="V8" s="41">
        <f t="shared" si="3"/>
        <v>39.799999999999997</v>
      </c>
      <c r="W8" s="82"/>
      <c r="X8" s="41">
        <f t="shared" si="12"/>
        <v>32.11</v>
      </c>
      <c r="Y8" s="41">
        <f t="shared" si="12"/>
        <v>47.76</v>
      </c>
      <c r="AA8" s="182">
        <f t="shared" si="13"/>
        <v>32.1</v>
      </c>
      <c r="AB8" s="182">
        <f t="shared" si="13"/>
        <v>47.7</v>
      </c>
      <c r="AD8" s="40">
        <f t="shared" si="14"/>
        <v>26.750000000000004</v>
      </c>
      <c r="AE8" s="40">
        <f t="shared" si="14"/>
        <v>39.750000000000007</v>
      </c>
      <c r="AG8" s="40">
        <f t="shared" si="15"/>
        <v>9.9999999999980105E-3</v>
      </c>
      <c r="AH8" s="40">
        <f t="shared" si="15"/>
        <v>5.9999999999995168E-2</v>
      </c>
      <c r="AJ8" s="40">
        <f t="shared" si="4"/>
        <v>1.61</v>
      </c>
      <c r="AK8" s="40">
        <f t="shared" si="4"/>
        <v>2.39</v>
      </c>
      <c r="AL8" s="40"/>
      <c r="AM8" s="180">
        <f t="shared" si="16"/>
        <v>10.694000000000003</v>
      </c>
      <c r="AN8" s="180">
        <f t="shared" si="16"/>
        <v>15.860000000000003</v>
      </c>
      <c r="AP8" s="76">
        <f t="shared" si="5"/>
        <v>0.1</v>
      </c>
      <c r="AQ8" s="76">
        <f t="shared" si="5"/>
        <v>0.10000000000000002</v>
      </c>
      <c r="AS8" s="76">
        <f t="shared" si="6"/>
        <v>0.39962630792227211</v>
      </c>
      <c r="AT8" s="76">
        <f t="shared" si="6"/>
        <v>0.39849246231155788</v>
      </c>
      <c r="AV8" s="76">
        <f t="shared" si="7"/>
        <v>0.5</v>
      </c>
      <c r="AW8" s="76">
        <f t="shared" si="7"/>
        <v>0.5</v>
      </c>
      <c r="AX8" s="42"/>
      <c r="AY8" s="42">
        <f t="shared" si="8"/>
        <v>13.370000000000003</v>
      </c>
      <c r="AZ8" s="42">
        <f t="shared" si="8"/>
        <v>19.840000000000003</v>
      </c>
      <c r="BA8" s="42"/>
      <c r="BB8" s="76">
        <f t="shared" si="9"/>
        <v>0.49962630792227214</v>
      </c>
      <c r="BC8" s="76">
        <f t="shared" si="9"/>
        <v>0.49849246231155792</v>
      </c>
    </row>
    <row r="9" spans="1:61" x14ac:dyDescent="0.25">
      <c r="B9" s="25" t="s">
        <v>27</v>
      </c>
      <c r="C9" s="149">
        <f>ROUND('ST Standard from 4 Jun26'!C9+'ST Inc Cruise from 4 Jun26'!$B$97,2)</f>
        <v>13.4</v>
      </c>
      <c r="D9" s="149">
        <f>ROUND('ST Standard from 4 Jun26'!D9+'ST Inc Cruise from 4 Jun26'!$B$97,2)</f>
        <v>19.91</v>
      </c>
      <c r="E9" s="41"/>
      <c r="F9" s="41">
        <f t="shared" si="0"/>
        <v>16.079999999999998</v>
      </c>
      <c r="G9" s="41">
        <f t="shared" si="0"/>
        <v>23.891999999999999</v>
      </c>
      <c r="H9" s="82"/>
      <c r="I9" s="41">
        <f t="shared" si="10"/>
        <v>2.6799999999999979</v>
      </c>
      <c r="J9" s="41">
        <f t="shared" si="10"/>
        <v>3.9819999999999993</v>
      </c>
      <c r="K9" s="82"/>
      <c r="L9" s="41">
        <f t="shared" si="1"/>
        <v>17.687999999999999</v>
      </c>
      <c r="M9" s="41">
        <f t="shared" si="1"/>
        <v>26.279000000000003</v>
      </c>
      <c r="N9" s="82"/>
      <c r="O9" s="41">
        <f t="shared" si="11"/>
        <v>4.2879999999999985</v>
      </c>
      <c r="P9" s="41">
        <f t="shared" si="11"/>
        <v>6.3690000000000033</v>
      </c>
      <c r="Q9" s="82"/>
      <c r="R9" s="76">
        <f t="shared" si="2"/>
        <v>0.10012437810945275</v>
      </c>
      <c r="S9" s="76">
        <f t="shared" si="2"/>
        <v>0.10003348401138457</v>
      </c>
      <c r="T9" s="82"/>
      <c r="U9" s="41">
        <f t="shared" si="3"/>
        <v>26.8</v>
      </c>
      <c r="V9" s="41">
        <f t="shared" si="3"/>
        <v>39.82</v>
      </c>
      <c r="W9" s="82"/>
      <c r="X9" s="41">
        <f t="shared" si="12"/>
        <v>32.159999999999997</v>
      </c>
      <c r="Y9" s="41">
        <f t="shared" si="12"/>
        <v>47.78</v>
      </c>
      <c r="AA9" s="182">
        <f t="shared" si="13"/>
        <v>32.1</v>
      </c>
      <c r="AB9" s="182">
        <f t="shared" si="13"/>
        <v>47.7</v>
      </c>
      <c r="AD9" s="40">
        <f t="shared" si="14"/>
        <v>26.750000000000004</v>
      </c>
      <c r="AE9" s="40">
        <f t="shared" si="14"/>
        <v>39.750000000000007</v>
      </c>
      <c r="AG9" s="40">
        <f t="shared" si="15"/>
        <v>5.9999999999995168E-2</v>
      </c>
      <c r="AH9" s="40">
        <f t="shared" si="15"/>
        <v>7.9999999999998295E-2</v>
      </c>
      <c r="AJ9" s="40">
        <f t="shared" si="4"/>
        <v>1.61</v>
      </c>
      <c r="AK9" s="40">
        <f t="shared" si="4"/>
        <v>2.39</v>
      </c>
      <c r="AL9" s="40"/>
      <c r="AM9" s="180">
        <f t="shared" si="16"/>
        <v>10.660000000000007</v>
      </c>
      <c r="AN9" s="180">
        <f t="shared" si="16"/>
        <v>15.848000000000003</v>
      </c>
      <c r="AP9" s="76">
        <f t="shared" si="5"/>
        <v>9.9999999999999922E-2</v>
      </c>
      <c r="AQ9" s="76">
        <f t="shared" si="5"/>
        <v>9.9999999999999978E-2</v>
      </c>
      <c r="AS9" s="76">
        <f t="shared" si="6"/>
        <v>0.397761194029851</v>
      </c>
      <c r="AT9" s="76">
        <f t="shared" si="6"/>
        <v>0.39799095931692624</v>
      </c>
      <c r="AV9" s="76">
        <f t="shared" si="7"/>
        <v>0.5</v>
      </c>
      <c r="AW9" s="76">
        <f t="shared" si="7"/>
        <v>0.5</v>
      </c>
      <c r="AX9" s="42"/>
      <c r="AY9" s="42">
        <f t="shared" si="8"/>
        <v>13.340000000000005</v>
      </c>
      <c r="AZ9" s="42">
        <f t="shared" si="8"/>
        <v>19.830000000000002</v>
      </c>
      <c r="BA9" s="42"/>
      <c r="BB9" s="76">
        <f t="shared" si="9"/>
        <v>0.49776119402985092</v>
      </c>
      <c r="BC9" s="76">
        <f t="shared" si="9"/>
        <v>0.49799095931692622</v>
      </c>
    </row>
    <row r="10" spans="1:61" x14ac:dyDescent="0.25">
      <c r="B10" s="25"/>
      <c r="C10" s="41"/>
      <c r="D10" s="41"/>
      <c r="E10" s="41"/>
      <c r="F10" s="41"/>
      <c r="G10" s="41"/>
      <c r="H10" s="4"/>
      <c r="I10" s="4"/>
      <c r="J10" s="4"/>
      <c r="K10" s="4"/>
      <c r="L10" s="41"/>
      <c r="M10" s="41"/>
      <c r="N10" s="4"/>
      <c r="O10" s="4"/>
      <c r="P10" s="4"/>
      <c r="Q10" s="4"/>
      <c r="R10" s="78"/>
      <c r="T10" s="4"/>
      <c r="U10" s="4"/>
      <c r="V10" s="4"/>
      <c r="W10" s="4"/>
      <c r="AJ10" s="40"/>
      <c r="AK10" s="40"/>
      <c r="AL10" s="40"/>
      <c r="AS10" s="103"/>
      <c r="AT10" s="103"/>
      <c r="AV10" s="40"/>
      <c r="AW10" s="40"/>
      <c r="BB10" s="77"/>
      <c r="BC10" s="77"/>
    </row>
    <row r="11" spans="1:61" x14ac:dyDescent="0.25">
      <c r="B11" s="32" t="s">
        <v>28</v>
      </c>
      <c r="C11" s="41"/>
      <c r="D11" s="41"/>
      <c r="E11" s="41"/>
      <c r="F11" s="41"/>
      <c r="G11" s="41"/>
      <c r="H11" s="4"/>
      <c r="I11" s="4"/>
      <c r="J11" s="4"/>
      <c r="K11" s="4"/>
      <c r="L11" s="41"/>
      <c r="M11" s="41"/>
      <c r="N11" s="4"/>
      <c r="O11" s="4"/>
      <c r="P11" s="4"/>
      <c r="Q11" s="4"/>
      <c r="R11" s="78"/>
      <c r="T11" s="4"/>
      <c r="U11" s="4"/>
      <c r="V11" s="4"/>
      <c r="W11" s="4"/>
      <c r="AJ11" s="40"/>
      <c r="AK11" s="40"/>
      <c r="AL11" s="40"/>
      <c r="AS11" s="103"/>
      <c r="AT11" s="103"/>
      <c r="AV11" s="40"/>
      <c r="AW11" s="40"/>
      <c r="BB11" s="77"/>
      <c r="BC11" s="77"/>
    </row>
    <row r="12" spans="1:61" x14ac:dyDescent="0.25">
      <c r="B12" s="25" t="s">
        <v>23</v>
      </c>
      <c r="C12" s="149">
        <f>ROUND('ST Standard from 4 Jun26'!C12+'ST Inc Cruise from 4 Jun26'!$B$97,2)</f>
        <v>13.24</v>
      </c>
      <c r="D12" s="149">
        <f>ROUND('ST Standard from 4 Jun26'!D12+'ST Inc Cruise from 4 Jun26'!$B$97,2)</f>
        <v>21.13</v>
      </c>
      <c r="E12" s="41"/>
      <c r="F12" s="41">
        <f t="shared" ref="F12:G17" si="17">C12*SUM(1+$G$1/$X$1)</f>
        <v>15.888</v>
      </c>
      <c r="G12" s="41">
        <f t="shared" si="17"/>
        <v>25.355999999999998</v>
      </c>
      <c r="H12" s="82"/>
      <c r="I12" s="41">
        <f t="shared" ref="I12:J17" si="18">F12-C12</f>
        <v>2.6479999999999997</v>
      </c>
      <c r="J12" s="41">
        <f t="shared" si="18"/>
        <v>4.2259999999999991</v>
      </c>
      <c r="K12" s="82"/>
      <c r="L12" s="41">
        <f t="shared" ref="L12:M17" si="19">ROUND(C12*(1+$G$1*2),2)*SUM(1+$M$1)</f>
        <v>17.479000000000003</v>
      </c>
      <c r="M12" s="41">
        <f t="shared" si="19"/>
        <v>27.896000000000001</v>
      </c>
      <c r="N12" s="82"/>
      <c r="O12" s="41">
        <f t="shared" ref="O12:P17" si="20">L12-C12</f>
        <v>4.2390000000000025</v>
      </c>
      <c r="P12" s="41">
        <f t="shared" si="20"/>
        <v>6.7660000000000018</v>
      </c>
      <c r="Q12" s="82"/>
      <c r="R12" s="76">
        <f t="shared" ref="R12:S17" si="21">AJ12/F12</f>
        <v>0.10007552870090634</v>
      </c>
      <c r="S12" s="76">
        <f t="shared" si="21"/>
        <v>0.10017352894778357</v>
      </c>
      <c r="T12" s="82"/>
      <c r="U12" s="41">
        <f t="shared" ref="U12:V17" si="22">SUM(C12/(1-$X$1))</f>
        <v>26.48</v>
      </c>
      <c r="V12" s="41">
        <f t="shared" si="22"/>
        <v>42.26</v>
      </c>
      <c r="W12" s="82"/>
      <c r="X12" s="41">
        <f t="shared" ref="X12:Y17" si="23">ROUND(C12/(1-$X$1)*1.2,2)</f>
        <v>31.78</v>
      </c>
      <c r="Y12" s="41">
        <f t="shared" si="23"/>
        <v>50.71</v>
      </c>
      <c r="AA12" s="182">
        <f>ROUNDDOWN(C12/(1-$X$1)*1.2,1)</f>
        <v>31.7</v>
      </c>
      <c r="AB12" s="182">
        <f>ROUNDDOWN(D12/(1-$X$1)*1.2,1)</f>
        <v>50.7</v>
      </c>
      <c r="AD12" s="40">
        <f t="shared" ref="AD12:AE17" si="24">AA12/1.2</f>
        <v>26.416666666666668</v>
      </c>
      <c r="AE12" s="40">
        <f t="shared" si="24"/>
        <v>42.250000000000007</v>
      </c>
      <c r="AG12" s="40">
        <f>X12-AA12</f>
        <v>8.0000000000001847E-2</v>
      </c>
      <c r="AH12" s="40">
        <f>Y12-AB12</f>
        <v>9.9999999999980105E-3</v>
      </c>
      <c r="AJ12" s="40">
        <f t="shared" ref="AJ12:AK17" si="25">ROUND(L12*(1-(1/(1+$AL$1))),2)</f>
        <v>1.59</v>
      </c>
      <c r="AK12" s="40">
        <f t="shared" si="25"/>
        <v>2.54</v>
      </c>
      <c r="AL12" s="40"/>
      <c r="AM12" s="180">
        <f>SUM(U12-F12)-AG12</f>
        <v>10.511999999999999</v>
      </c>
      <c r="AN12" s="180">
        <f>SUM(V12-G12)-AH12</f>
        <v>16.894000000000002</v>
      </c>
      <c r="AP12" s="76">
        <f t="shared" ref="AP12:AQ17" si="26">(SUM(F12-C12)/C12)*$X$1</f>
        <v>9.9999999999999992E-2</v>
      </c>
      <c r="AQ12" s="76">
        <f t="shared" si="26"/>
        <v>9.9999999999999978E-2</v>
      </c>
      <c r="AS12" s="76">
        <f t="shared" ref="AS12:AT17" si="27">AM12/U12</f>
        <v>0.39697885196374616</v>
      </c>
      <c r="AT12" s="76">
        <f t="shared" si="27"/>
        <v>0.39976336961665887</v>
      </c>
      <c r="AV12" s="76">
        <f t="shared" ref="AV12:AW17" si="28">C12/U12</f>
        <v>0.5</v>
      </c>
      <c r="AW12" s="76">
        <f t="shared" si="28"/>
        <v>0.5</v>
      </c>
      <c r="AX12" s="42"/>
      <c r="AY12" s="42">
        <f t="shared" ref="AY12:AZ17" si="29">I12+AM12</f>
        <v>13.159999999999998</v>
      </c>
      <c r="AZ12" s="42">
        <f t="shared" si="29"/>
        <v>21.12</v>
      </c>
      <c r="BA12" s="42"/>
      <c r="BB12" s="76">
        <f t="shared" ref="BB12:BC17" si="30">AY12/(C12/$X$1)</f>
        <v>0.49697885196374614</v>
      </c>
      <c r="BC12" s="76">
        <f t="shared" si="30"/>
        <v>0.49976336961665885</v>
      </c>
    </row>
    <row r="13" spans="1:61" x14ac:dyDescent="0.25">
      <c r="B13" s="25" t="s">
        <v>24</v>
      </c>
      <c r="C13" s="149">
        <f>ROUND('ST Standard from 4 Jun26'!C13+'ST Inc Cruise from 4 Jun26'!$B$97,2)</f>
        <v>16.739999999999998</v>
      </c>
      <c r="D13" s="149">
        <f>ROUND('ST Standard from 4 Jun26'!D13+'ST Inc Cruise from 4 Jun26'!$B$97,2)</f>
        <v>25.09</v>
      </c>
      <c r="E13" s="41"/>
      <c r="F13" s="41">
        <f t="shared" si="17"/>
        <v>20.087999999999997</v>
      </c>
      <c r="G13" s="41">
        <f t="shared" si="17"/>
        <v>30.107999999999997</v>
      </c>
      <c r="H13" s="82"/>
      <c r="I13" s="41">
        <f t="shared" si="18"/>
        <v>3.347999999999999</v>
      </c>
      <c r="J13" s="41">
        <f t="shared" si="18"/>
        <v>5.0179999999999971</v>
      </c>
      <c r="K13" s="82"/>
      <c r="L13" s="41">
        <f t="shared" si="19"/>
        <v>22.099</v>
      </c>
      <c r="M13" s="41">
        <f t="shared" si="19"/>
        <v>33.121000000000002</v>
      </c>
      <c r="N13" s="82"/>
      <c r="O13" s="41">
        <f t="shared" si="20"/>
        <v>5.3590000000000018</v>
      </c>
      <c r="P13" s="41">
        <f t="shared" si="20"/>
        <v>8.0310000000000024</v>
      </c>
      <c r="Q13" s="82"/>
      <c r="R13" s="76">
        <f t="shared" si="21"/>
        <v>0.10005973715651136</v>
      </c>
      <c r="S13" s="76">
        <f t="shared" si="21"/>
        <v>9.9973428988973032E-2</v>
      </c>
      <c r="T13" s="82"/>
      <c r="U13" s="41">
        <f t="shared" si="22"/>
        <v>33.479999999999997</v>
      </c>
      <c r="V13" s="41">
        <f t="shared" si="22"/>
        <v>50.18</v>
      </c>
      <c r="W13" s="82"/>
      <c r="X13" s="41">
        <f t="shared" si="23"/>
        <v>40.18</v>
      </c>
      <c r="Y13" s="41">
        <f t="shared" si="23"/>
        <v>60.22</v>
      </c>
      <c r="AA13" s="182">
        <f t="shared" ref="AA13:AB16" si="31">ROUNDDOWN(C13/(1-$X$1)*1.2,1)</f>
        <v>40.1</v>
      </c>
      <c r="AB13" s="182">
        <f t="shared" si="31"/>
        <v>60.2</v>
      </c>
      <c r="AD13" s="40">
        <f t="shared" si="24"/>
        <v>33.416666666666671</v>
      </c>
      <c r="AE13" s="40">
        <f t="shared" si="24"/>
        <v>50.166666666666671</v>
      </c>
      <c r="AG13" s="40">
        <f t="shared" ref="AG13:AH17" si="32">X13-AA13</f>
        <v>7.9999999999998295E-2</v>
      </c>
      <c r="AH13" s="40">
        <f t="shared" si="32"/>
        <v>1.9999999999996021E-2</v>
      </c>
      <c r="AJ13" s="40">
        <f t="shared" si="25"/>
        <v>2.0099999999999998</v>
      </c>
      <c r="AK13" s="40">
        <f t="shared" si="25"/>
        <v>3.01</v>
      </c>
      <c r="AL13" s="40"/>
      <c r="AM13" s="180">
        <f t="shared" ref="AM13:AN17" si="33">SUM(U13-F13)-AG13</f>
        <v>13.312000000000001</v>
      </c>
      <c r="AN13" s="180">
        <f t="shared" si="33"/>
        <v>20.052000000000007</v>
      </c>
      <c r="AP13" s="76">
        <f t="shared" si="26"/>
        <v>9.9999999999999978E-2</v>
      </c>
      <c r="AQ13" s="76">
        <f t="shared" si="26"/>
        <v>9.999999999999995E-2</v>
      </c>
      <c r="AS13" s="76">
        <f t="shared" si="27"/>
        <v>0.39761051373954609</v>
      </c>
      <c r="AT13" s="76">
        <f t="shared" si="27"/>
        <v>0.39960143483459559</v>
      </c>
      <c r="AV13" s="76">
        <f t="shared" si="28"/>
        <v>0.5</v>
      </c>
      <c r="AW13" s="76">
        <f t="shared" si="28"/>
        <v>0.5</v>
      </c>
      <c r="AX13" s="42"/>
      <c r="AY13" s="42">
        <f t="shared" si="29"/>
        <v>16.66</v>
      </c>
      <c r="AZ13" s="42">
        <f t="shared" si="29"/>
        <v>25.070000000000004</v>
      </c>
      <c r="BA13" s="42"/>
      <c r="BB13" s="76">
        <f t="shared" si="30"/>
        <v>0.49761051373954607</v>
      </c>
      <c r="BC13" s="76">
        <f t="shared" si="30"/>
        <v>0.49960143483459551</v>
      </c>
    </row>
    <row r="14" spans="1:61" x14ac:dyDescent="0.25">
      <c r="B14" s="25" t="s">
        <v>25</v>
      </c>
      <c r="C14" s="149">
        <f>ROUND('ST Standard from 4 Jun26'!C14+'ST Inc Cruise from 4 Jun26'!$B$97,2)</f>
        <v>19.52</v>
      </c>
      <c r="D14" s="149">
        <f>ROUND('ST Standard from 4 Jun26'!D14+'ST Inc Cruise from 4 Jun26'!$B$97,2)</f>
        <v>28.01</v>
      </c>
      <c r="E14" s="41"/>
      <c r="F14" s="41">
        <f t="shared" si="17"/>
        <v>23.423999999999999</v>
      </c>
      <c r="G14" s="41">
        <f t="shared" si="17"/>
        <v>33.612000000000002</v>
      </c>
      <c r="H14" s="82"/>
      <c r="I14" s="41">
        <f t="shared" si="18"/>
        <v>3.9039999999999999</v>
      </c>
      <c r="J14" s="41">
        <f t="shared" si="18"/>
        <v>5.6020000000000003</v>
      </c>
      <c r="K14" s="82"/>
      <c r="L14" s="41">
        <f t="shared" si="19"/>
        <v>25.762000000000004</v>
      </c>
      <c r="M14" s="41">
        <f t="shared" si="19"/>
        <v>36.971000000000004</v>
      </c>
      <c r="N14" s="82"/>
      <c r="O14" s="41">
        <f t="shared" si="20"/>
        <v>6.2420000000000044</v>
      </c>
      <c r="P14" s="41">
        <f t="shared" si="20"/>
        <v>8.9610000000000021</v>
      </c>
      <c r="Q14" s="82"/>
      <c r="R14" s="76">
        <f t="shared" si="21"/>
        <v>9.989754098360655E-2</v>
      </c>
      <c r="S14" s="76">
        <f t="shared" si="21"/>
        <v>9.9964298464833984E-2</v>
      </c>
      <c r="T14" s="82"/>
      <c r="U14" s="41">
        <f t="shared" si="22"/>
        <v>39.04</v>
      </c>
      <c r="V14" s="41">
        <f t="shared" si="22"/>
        <v>56.02</v>
      </c>
      <c r="W14" s="82"/>
      <c r="X14" s="41">
        <f t="shared" si="23"/>
        <v>46.85</v>
      </c>
      <c r="Y14" s="41">
        <f t="shared" si="23"/>
        <v>67.22</v>
      </c>
      <c r="AA14" s="182">
        <f t="shared" si="31"/>
        <v>46.8</v>
      </c>
      <c r="AB14" s="182">
        <f t="shared" si="31"/>
        <v>67.2</v>
      </c>
      <c r="AD14" s="40">
        <f t="shared" si="24"/>
        <v>39</v>
      </c>
      <c r="AE14" s="40">
        <f t="shared" si="24"/>
        <v>56.000000000000007</v>
      </c>
      <c r="AG14" s="40">
        <f t="shared" si="32"/>
        <v>5.0000000000004263E-2</v>
      </c>
      <c r="AH14" s="40">
        <f t="shared" si="32"/>
        <v>1.9999999999996021E-2</v>
      </c>
      <c r="AJ14" s="40">
        <f t="shared" si="25"/>
        <v>2.34</v>
      </c>
      <c r="AK14" s="40">
        <f t="shared" si="25"/>
        <v>3.36</v>
      </c>
      <c r="AL14" s="40"/>
      <c r="AM14" s="180">
        <f t="shared" si="33"/>
        <v>15.565999999999995</v>
      </c>
      <c r="AN14" s="180">
        <f t="shared" si="33"/>
        <v>22.388000000000005</v>
      </c>
      <c r="AP14" s="76">
        <f t="shared" si="26"/>
        <v>0.1</v>
      </c>
      <c r="AQ14" s="76">
        <f t="shared" si="26"/>
        <v>0.1</v>
      </c>
      <c r="AS14" s="76">
        <f t="shared" si="27"/>
        <v>0.39871926229508187</v>
      </c>
      <c r="AT14" s="76">
        <f t="shared" si="27"/>
        <v>0.39964298464833997</v>
      </c>
      <c r="AV14" s="76">
        <f t="shared" si="28"/>
        <v>0.5</v>
      </c>
      <c r="AW14" s="76">
        <f t="shared" si="28"/>
        <v>0.5</v>
      </c>
      <c r="AX14" s="42"/>
      <c r="AY14" s="42">
        <f t="shared" si="29"/>
        <v>19.469999999999995</v>
      </c>
      <c r="AZ14" s="42">
        <f t="shared" si="29"/>
        <v>27.990000000000006</v>
      </c>
      <c r="BA14" s="42"/>
      <c r="BB14" s="76">
        <f t="shared" si="30"/>
        <v>0.49871926229508184</v>
      </c>
      <c r="BC14" s="76">
        <f t="shared" si="30"/>
        <v>0.49964298464833995</v>
      </c>
    </row>
    <row r="15" spans="1:61" x14ac:dyDescent="0.25">
      <c r="B15" s="25" t="s">
        <v>26</v>
      </c>
      <c r="C15" s="149">
        <f>ROUND('ST Standard from 4 Jun26'!C15+'ST Inc Cruise from 4 Jun26'!$B$97,2)</f>
        <v>25.45</v>
      </c>
      <c r="D15" s="149">
        <f>ROUND('ST Standard from 4 Jun26'!D15+'ST Inc Cruise from 4 Jun26'!$B$97,2)</f>
        <v>35.450000000000003</v>
      </c>
      <c r="E15" s="41"/>
      <c r="F15" s="41">
        <f t="shared" si="17"/>
        <v>30.54</v>
      </c>
      <c r="G15" s="41">
        <f t="shared" si="17"/>
        <v>42.54</v>
      </c>
      <c r="H15" s="82"/>
      <c r="I15" s="41">
        <f t="shared" si="18"/>
        <v>5.09</v>
      </c>
      <c r="J15" s="41">
        <f t="shared" si="18"/>
        <v>7.0899999999999963</v>
      </c>
      <c r="K15" s="82"/>
      <c r="L15" s="41">
        <f t="shared" si="19"/>
        <v>33.594000000000001</v>
      </c>
      <c r="M15" s="41">
        <f t="shared" si="19"/>
        <v>46.794000000000004</v>
      </c>
      <c r="N15" s="82"/>
      <c r="O15" s="41">
        <f t="shared" si="20"/>
        <v>8.1440000000000019</v>
      </c>
      <c r="P15" s="41">
        <f t="shared" si="20"/>
        <v>11.344000000000001</v>
      </c>
      <c r="Q15" s="82"/>
      <c r="R15" s="76">
        <f t="shared" si="21"/>
        <v>9.9869024230517356E-2</v>
      </c>
      <c r="S15" s="76">
        <f t="shared" si="21"/>
        <v>9.9905970850963796E-2</v>
      </c>
      <c r="T15" s="82"/>
      <c r="U15" s="41">
        <f t="shared" si="22"/>
        <v>50.9</v>
      </c>
      <c r="V15" s="41">
        <f t="shared" si="22"/>
        <v>70.900000000000006</v>
      </c>
      <c r="W15" s="82"/>
      <c r="X15" s="41">
        <f t="shared" si="23"/>
        <v>61.08</v>
      </c>
      <c r="Y15" s="41">
        <f t="shared" si="23"/>
        <v>85.08</v>
      </c>
      <c r="AA15" s="182">
        <f t="shared" si="31"/>
        <v>61</v>
      </c>
      <c r="AB15" s="182">
        <f t="shared" si="31"/>
        <v>85</v>
      </c>
      <c r="AD15" s="40">
        <f t="shared" si="24"/>
        <v>50.833333333333336</v>
      </c>
      <c r="AE15" s="40">
        <f t="shared" si="24"/>
        <v>70.833333333333343</v>
      </c>
      <c r="AG15" s="40">
        <f t="shared" si="32"/>
        <v>7.9999999999998295E-2</v>
      </c>
      <c r="AH15" s="40">
        <f t="shared" si="32"/>
        <v>7.9999999999998295E-2</v>
      </c>
      <c r="AJ15" s="40">
        <f t="shared" si="25"/>
        <v>3.05</v>
      </c>
      <c r="AK15" s="40">
        <f t="shared" si="25"/>
        <v>4.25</v>
      </c>
      <c r="AL15" s="40"/>
      <c r="AM15" s="180">
        <f t="shared" si="33"/>
        <v>20.28</v>
      </c>
      <c r="AN15" s="180">
        <f t="shared" si="33"/>
        <v>28.280000000000008</v>
      </c>
      <c r="AP15" s="76">
        <f t="shared" si="26"/>
        <v>0.1</v>
      </c>
      <c r="AQ15" s="76">
        <f t="shared" si="26"/>
        <v>9.9999999999999936E-2</v>
      </c>
      <c r="AS15" s="76">
        <f t="shared" si="27"/>
        <v>0.39842829076620828</v>
      </c>
      <c r="AT15" s="76">
        <f t="shared" si="27"/>
        <v>0.39887165021156568</v>
      </c>
      <c r="AV15" s="76">
        <f t="shared" si="28"/>
        <v>0.5</v>
      </c>
      <c r="AW15" s="76">
        <f t="shared" si="28"/>
        <v>0.5</v>
      </c>
      <c r="AX15" s="42"/>
      <c r="AY15" s="42">
        <f t="shared" si="29"/>
        <v>25.37</v>
      </c>
      <c r="AZ15" s="42">
        <f t="shared" si="29"/>
        <v>35.370000000000005</v>
      </c>
      <c r="BA15" s="42"/>
      <c r="BB15" s="76">
        <f t="shared" si="30"/>
        <v>0.49842829076620826</v>
      </c>
      <c r="BC15" s="76">
        <f t="shared" si="30"/>
        <v>0.4988716502115656</v>
      </c>
    </row>
    <row r="16" spans="1:61" x14ac:dyDescent="0.25">
      <c r="B16" s="25" t="s">
        <v>27</v>
      </c>
      <c r="C16" s="149">
        <f>ROUND('ST Standard from 4 Jun26'!C16+'ST Inc Cruise from 4 Jun26'!$B$97,2)</f>
        <v>29.83</v>
      </c>
      <c r="D16" s="149">
        <f>ROUND('ST Standard from 4 Jun26'!D16+'ST Inc Cruise from 4 Jun26'!$B$97,2)</f>
        <v>41.36</v>
      </c>
      <c r="E16" s="41"/>
      <c r="F16" s="41">
        <f t="shared" si="17"/>
        <v>35.795999999999999</v>
      </c>
      <c r="G16" s="41">
        <f t="shared" si="17"/>
        <v>49.631999999999998</v>
      </c>
      <c r="H16" s="82"/>
      <c r="I16" s="41">
        <f t="shared" si="18"/>
        <v>5.9660000000000011</v>
      </c>
      <c r="J16" s="41">
        <f t="shared" si="18"/>
        <v>8.2719999999999985</v>
      </c>
      <c r="K16" s="82"/>
      <c r="L16" s="41">
        <f t="shared" si="19"/>
        <v>39.380000000000003</v>
      </c>
      <c r="M16" s="41">
        <f t="shared" si="19"/>
        <v>54.593000000000011</v>
      </c>
      <c r="N16" s="82"/>
      <c r="O16" s="41">
        <f t="shared" si="20"/>
        <v>9.5500000000000043</v>
      </c>
      <c r="P16" s="41">
        <f t="shared" si="20"/>
        <v>13.233000000000011</v>
      </c>
      <c r="Q16" s="82"/>
      <c r="R16" s="76">
        <f t="shared" si="21"/>
        <v>0.10001117443289753</v>
      </c>
      <c r="S16" s="76">
        <f t="shared" si="21"/>
        <v>9.9935525467440361E-2</v>
      </c>
      <c r="T16" s="82"/>
      <c r="U16" s="41">
        <f t="shared" si="22"/>
        <v>59.66</v>
      </c>
      <c r="V16" s="41">
        <f t="shared" si="22"/>
        <v>82.72</v>
      </c>
      <c r="W16" s="82"/>
      <c r="X16" s="41">
        <f t="shared" si="23"/>
        <v>71.59</v>
      </c>
      <c r="Y16" s="41">
        <f t="shared" si="23"/>
        <v>99.26</v>
      </c>
      <c r="AA16" s="182">
        <f t="shared" si="31"/>
        <v>71.5</v>
      </c>
      <c r="AB16" s="182">
        <f t="shared" si="31"/>
        <v>99.2</v>
      </c>
      <c r="AD16" s="40">
        <f t="shared" si="24"/>
        <v>59.583333333333336</v>
      </c>
      <c r="AE16" s="40">
        <f t="shared" si="24"/>
        <v>82.666666666666671</v>
      </c>
      <c r="AG16" s="40">
        <f t="shared" si="32"/>
        <v>9.0000000000003411E-2</v>
      </c>
      <c r="AH16" s="40">
        <f t="shared" si="32"/>
        <v>6.0000000000002274E-2</v>
      </c>
      <c r="AJ16" s="40">
        <f t="shared" si="25"/>
        <v>3.58</v>
      </c>
      <c r="AK16" s="40">
        <f t="shared" si="25"/>
        <v>4.96</v>
      </c>
      <c r="AL16" s="40"/>
      <c r="AM16" s="180">
        <f t="shared" si="33"/>
        <v>23.773999999999994</v>
      </c>
      <c r="AN16" s="180">
        <f t="shared" si="33"/>
        <v>33.027999999999999</v>
      </c>
      <c r="AP16" s="76">
        <f t="shared" si="26"/>
        <v>0.10000000000000002</v>
      </c>
      <c r="AQ16" s="76">
        <f t="shared" si="26"/>
        <v>9.9999999999999978E-2</v>
      </c>
      <c r="AS16" s="76">
        <f t="shared" si="27"/>
        <v>0.39849145155883331</v>
      </c>
      <c r="AT16" s="76">
        <f t="shared" si="27"/>
        <v>0.39927466150870405</v>
      </c>
      <c r="AV16" s="76">
        <f t="shared" si="28"/>
        <v>0.5</v>
      </c>
      <c r="AW16" s="76">
        <f t="shared" si="28"/>
        <v>0.5</v>
      </c>
      <c r="AX16" s="42"/>
      <c r="AY16" s="42">
        <f t="shared" si="29"/>
        <v>29.739999999999995</v>
      </c>
      <c r="AZ16" s="42">
        <f t="shared" si="29"/>
        <v>41.3</v>
      </c>
      <c r="BA16" s="42"/>
      <c r="BB16" s="76">
        <f t="shared" si="30"/>
        <v>0.49849145155883334</v>
      </c>
      <c r="BC16" s="76">
        <f t="shared" si="30"/>
        <v>0.49927466150870403</v>
      </c>
    </row>
    <row r="17" spans="2:55" x14ac:dyDescent="0.25">
      <c r="B17" s="25" t="s">
        <v>29</v>
      </c>
      <c r="C17" s="149">
        <f>ROUND('ST Standard from 4 Jun26'!C17,2)</f>
        <v>3.84</v>
      </c>
      <c r="D17" s="149">
        <f>ROUND('ST Standard from 4 Jun26'!D17,2)</f>
        <v>5.21</v>
      </c>
      <c r="E17" s="41"/>
      <c r="F17" s="41">
        <f t="shared" si="17"/>
        <v>4.6079999999999997</v>
      </c>
      <c r="G17" s="41">
        <f t="shared" si="17"/>
        <v>6.2519999999999998</v>
      </c>
      <c r="H17" s="82"/>
      <c r="I17" s="41">
        <f t="shared" si="18"/>
        <v>0.76799999999999979</v>
      </c>
      <c r="J17" s="41">
        <f t="shared" si="18"/>
        <v>1.0419999999999998</v>
      </c>
      <c r="K17" s="82"/>
      <c r="L17" s="41">
        <f t="shared" si="19"/>
        <v>5.0710000000000006</v>
      </c>
      <c r="M17" s="41">
        <f t="shared" si="19"/>
        <v>6.8750000000000009</v>
      </c>
      <c r="N17" s="82"/>
      <c r="O17" s="41">
        <f t="shared" si="20"/>
        <v>1.2310000000000008</v>
      </c>
      <c r="P17" s="41">
        <f t="shared" si="20"/>
        <v>1.6650000000000009</v>
      </c>
      <c r="Q17" s="82"/>
      <c r="R17" s="76">
        <f t="shared" si="21"/>
        <v>9.9826388888888895E-2</v>
      </c>
      <c r="S17" s="76">
        <f t="shared" si="21"/>
        <v>0.10076775431861805</v>
      </c>
      <c r="T17" s="82"/>
      <c r="U17" s="41">
        <f t="shared" si="22"/>
        <v>7.68</v>
      </c>
      <c r="V17" s="41">
        <f t="shared" si="22"/>
        <v>10.42</v>
      </c>
      <c r="W17" s="82"/>
      <c r="X17" s="41">
        <f t="shared" si="23"/>
        <v>9.2200000000000006</v>
      </c>
      <c r="Y17" s="41">
        <f t="shared" si="23"/>
        <v>12.5</v>
      </c>
      <c r="AA17" s="182">
        <f>ROUNDDOWN(C17/(1-$X$1)*1.2,1)</f>
        <v>9.1999999999999993</v>
      </c>
      <c r="AB17" s="182">
        <f>ROUNDDOWN(D17/(1-$X$1)*1.2,1)</f>
        <v>12.5</v>
      </c>
      <c r="AD17" s="40">
        <f t="shared" si="24"/>
        <v>7.6666666666666661</v>
      </c>
      <c r="AE17" s="40">
        <f t="shared" si="24"/>
        <v>10.416666666666668</v>
      </c>
      <c r="AG17" s="40">
        <f t="shared" si="32"/>
        <v>2.000000000000135E-2</v>
      </c>
      <c r="AH17" s="40">
        <f t="shared" si="32"/>
        <v>0</v>
      </c>
      <c r="AJ17" s="40">
        <f t="shared" si="25"/>
        <v>0.46</v>
      </c>
      <c r="AK17" s="40">
        <f t="shared" si="25"/>
        <v>0.63</v>
      </c>
      <c r="AL17" s="40"/>
      <c r="AM17" s="180">
        <f t="shared" si="33"/>
        <v>3.0519999999999987</v>
      </c>
      <c r="AN17" s="180">
        <f t="shared" si="33"/>
        <v>4.1680000000000001</v>
      </c>
      <c r="AP17" s="76">
        <f t="shared" si="26"/>
        <v>9.9999999999999978E-2</v>
      </c>
      <c r="AQ17" s="76">
        <f t="shared" si="26"/>
        <v>9.9999999999999978E-2</v>
      </c>
      <c r="AS17" s="76">
        <f t="shared" si="27"/>
        <v>0.39739583333333317</v>
      </c>
      <c r="AT17" s="76">
        <f t="shared" si="27"/>
        <v>0.4</v>
      </c>
      <c r="AV17" s="76">
        <f t="shared" si="28"/>
        <v>0.5</v>
      </c>
      <c r="AW17" s="76">
        <f t="shared" si="28"/>
        <v>0.5</v>
      </c>
      <c r="AX17" s="42"/>
      <c r="AY17" s="42">
        <f t="shared" si="29"/>
        <v>3.8199999999999985</v>
      </c>
      <c r="AZ17" s="42">
        <f t="shared" si="29"/>
        <v>5.21</v>
      </c>
      <c r="BA17" s="42"/>
      <c r="BB17" s="76">
        <f t="shared" si="30"/>
        <v>0.49739583333333315</v>
      </c>
      <c r="BC17" s="76">
        <f t="shared" si="30"/>
        <v>0.5</v>
      </c>
    </row>
    <row r="18" spans="2:55" x14ac:dyDescent="0.25">
      <c r="B18" s="25"/>
      <c r="C18" s="41"/>
      <c r="D18" s="41"/>
      <c r="E18" s="41"/>
      <c r="F18" s="41"/>
      <c r="G18" s="41"/>
      <c r="H18" s="82"/>
      <c r="I18" s="82"/>
      <c r="J18" s="82"/>
      <c r="K18" s="82"/>
      <c r="L18" s="41"/>
      <c r="M18" s="41"/>
      <c r="N18" s="4"/>
      <c r="O18" s="4"/>
      <c r="P18" s="4"/>
      <c r="Q18" s="4"/>
      <c r="R18" s="78"/>
      <c r="T18" s="4"/>
      <c r="U18" s="4"/>
      <c r="V18" s="4"/>
      <c r="W18" s="4"/>
      <c r="AJ18" s="40"/>
      <c r="AK18" s="40"/>
      <c r="AL18" s="40"/>
      <c r="AS18" s="103"/>
      <c r="AT18" s="103"/>
      <c r="AV18" s="40"/>
      <c r="AW18" s="40"/>
      <c r="BB18" s="77"/>
      <c r="BC18" s="77"/>
    </row>
    <row r="19" spans="2:55" x14ac:dyDescent="0.25">
      <c r="B19" s="32" t="s">
        <v>30</v>
      </c>
      <c r="C19" s="41"/>
      <c r="D19" s="41"/>
      <c r="E19" s="41"/>
      <c r="F19" s="41"/>
      <c r="G19" s="41"/>
      <c r="H19" s="82"/>
      <c r="I19" s="82"/>
      <c r="J19" s="82"/>
      <c r="K19" s="82"/>
      <c r="L19" s="41"/>
      <c r="M19" s="41"/>
      <c r="N19" s="4"/>
      <c r="O19" s="4"/>
      <c r="P19" s="4"/>
      <c r="Q19" s="4"/>
      <c r="R19" s="78"/>
      <c r="T19" s="4"/>
      <c r="U19" s="4"/>
      <c r="V19" s="4"/>
      <c r="W19" s="4"/>
      <c r="AJ19" s="40"/>
      <c r="AK19" s="40"/>
      <c r="AL19" s="40"/>
      <c r="AS19" s="103"/>
      <c r="AT19" s="103"/>
      <c r="AV19" s="40"/>
      <c r="AW19" s="40"/>
      <c r="BB19" s="77"/>
      <c r="BC19" s="77"/>
    </row>
    <row r="20" spans="2:55" x14ac:dyDescent="0.25">
      <c r="B20" s="25" t="s">
        <v>31</v>
      </c>
      <c r="C20" s="149">
        <f>ROUND('ST Standard from 4 Jun26'!C20+'ST Inc Cruise from 4 Jun26'!$B$98,2)</f>
        <v>27.77</v>
      </c>
      <c r="D20" s="149">
        <f>ROUND('ST Standard from 4 Jun26'!D20+'ST Inc Cruise from 4 Jun26'!$B$98,2)</f>
        <v>33.94</v>
      </c>
      <c r="E20" s="41"/>
      <c r="F20" s="41">
        <f t="shared" ref="F20:G25" si="34">C20*SUM(1+$G$1/$X$1)</f>
        <v>33.323999999999998</v>
      </c>
      <c r="G20" s="41">
        <f t="shared" si="34"/>
        <v>40.727999999999994</v>
      </c>
      <c r="H20" s="82"/>
      <c r="I20" s="41">
        <f t="shared" ref="I20:J25" si="35">F20-C20</f>
        <v>5.5539999999999985</v>
      </c>
      <c r="J20" s="41">
        <f t="shared" si="35"/>
        <v>6.7879999999999967</v>
      </c>
      <c r="K20" s="82"/>
      <c r="L20" s="41">
        <f t="shared" ref="L20:M25" si="36">ROUND(C20*(1+$G$1*2),2)*SUM(1+$M$1)</f>
        <v>36.652000000000001</v>
      </c>
      <c r="M20" s="41">
        <f t="shared" si="36"/>
        <v>44.802999999999997</v>
      </c>
      <c r="N20" s="82"/>
      <c r="O20" s="41">
        <f t="shared" ref="O20:P25" si="37">L20-C20</f>
        <v>8.8820000000000014</v>
      </c>
      <c r="P20" s="41">
        <f t="shared" si="37"/>
        <v>10.863</v>
      </c>
      <c r="Q20" s="82"/>
      <c r="R20" s="76">
        <f t="shared" ref="R20:S25" si="38">AJ20/F20</f>
        <v>9.9927979834353628E-2</v>
      </c>
      <c r="S20" s="76">
        <f t="shared" si="38"/>
        <v>9.993125122765667E-2</v>
      </c>
      <c r="T20" s="82"/>
      <c r="U20" s="41">
        <f t="shared" ref="U20:V25" si="39">SUM(C20/(1-$X$1))</f>
        <v>55.54</v>
      </c>
      <c r="V20" s="41">
        <f t="shared" si="39"/>
        <v>67.88</v>
      </c>
      <c r="W20" s="82"/>
      <c r="X20" s="41">
        <f t="shared" ref="X20:Y25" si="40">ROUND(C20/(1-$X$1)*1.2,2)</f>
        <v>66.650000000000006</v>
      </c>
      <c r="Y20" s="41">
        <f t="shared" si="40"/>
        <v>81.459999999999994</v>
      </c>
      <c r="AA20" s="182">
        <f>ROUNDDOWN(C20/(1-$X$1)*1.2,1)</f>
        <v>66.599999999999994</v>
      </c>
      <c r="AB20" s="182">
        <f>ROUNDDOWN(D20/(1-$X$1)*1.2,1)</f>
        <v>81.400000000000006</v>
      </c>
      <c r="AD20" s="40">
        <f t="shared" ref="AD20:AE25" si="41">AA20/1.2</f>
        <v>55.5</v>
      </c>
      <c r="AE20" s="40">
        <f t="shared" si="41"/>
        <v>67.833333333333343</v>
      </c>
      <c r="AG20" s="40">
        <f>X20-AA20</f>
        <v>5.0000000000011369E-2</v>
      </c>
      <c r="AH20" s="40">
        <f>Y20-AB20</f>
        <v>5.9999999999988063E-2</v>
      </c>
      <c r="AJ20" s="40">
        <f t="shared" ref="AJ20:AK25" si="42">ROUND(L20*(1-(1/(1+$AL$1))),2)</f>
        <v>3.33</v>
      </c>
      <c r="AK20" s="40">
        <f t="shared" si="42"/>
        <v>4.07</v>
      </c>
      <c r="AL20" s="40"/>
      <c r="AM20" s="180">
        <f>SUM(U20-F20)-AG20</f>
        <v>22.16599999999999</v>
      </c>
      <c r="AN20" s="180">
        <f>SUM(V20-G20)-AH20</f>
        <v>27.092000000000013</v>
      </c>
      <c r="AP20" s="76">
        <f t="shared" ref="AP20:AQ25" si="43">(SUM(F20-C20)/C20)*$X$1</f>
        <v>9.9999999999999978E-2</v>
      </c>
      <c r="AQ20" s="76">
        <f t="shared" si="43"/>
        <v>9.9999999999999964E-2</v>
      </c>
      <c r="AS20" s="76">
        <f t="shared" ref="AS20:AT25" si="44">AM20/U20</f>
        <v>0.39909974792942005</v>
      </c>
      <c r="AT20" s="76">
        <f t="shared" si="44"/>
        <v>0.39911608721272857</v>
      </c>
      <c r="AV20" s="76">
        <f t="shared" ref="AV20:AW25" si="45">C20/U20</f>
        <v>0.5</v>
      </c>
      <c r="AW20" s="76">
        <f t="shared" si="45"/>
        <v>0.5</v>
      </c>
      <c r="AX20" s="42"/>
      <c r="AY20" s="42">
        <f t="shared" ref="AY20:AZ25" si="46">I20+AM20</f>
        <v>27.719999999999988</v>
      </c>
      <c r="AZ20" s="42">
        <f t="shared" si="46"/>
        <v>33.88000000000001</v>
      </c>
      <c r="BA20" s="42"/>
      <c r="BB20" s="76">
        <f t="shared" ref="BB20:BC25" si="47">AY20/(C20/$X$1)</f>
        <v>0.49909974792942002</v>
      </c>
      <c r="BC20" s="76">
        <f t="shared" si="47"/>
        <v>0.49911608721272854</v>
      </c>
    </row>
    <row r="21" spans="2:55" x14ac:dyDescent="0.25">
      <c r="B21" s="25" t="s">
        <v>24</v>
      </c>
      <c r="C21" s="149">
        <f>ROUND('ST Standard from 4 Jun26'!C21+'ST Inc Cruise from 4 Jun26'!$B$98,2)</f>
        <v>33.020000000000003</v>
      </c>
      <c r="D21" s="149">
        <f>ROUND('ST Standard from 4 Jun26'!D21+'ST Inc Cruise from 4 Jun26'!$B$98,2)</f>
        <v>37.58</v>
      </c>
      <c r="E21" s="41"/>
      <c r="F21" s="41">
        <f t="shared" si="34"/>
        <v>39.624000000000002</v>
      </c>
      <c r="G21" s="41">
        <f t="shared" si="34"/>
        <v>45.095999999999997</v>
      </c>
      <c r="H21" s="82"/>
      <c r="I21" s="41">
        <f t="shared" si="35"/>
        <v>6.6039999999999992</v>
      </c>
      <c r="J21" s="41">
        <f t="shared" si="35"/>
        <v>7.5159999999999982</v>
      </c>
      <c r="K21" s="82"/>
      <c r="L21" s="41">
        <f t="shared" si="36"/>
        <v>43.582000000000001</v>
      </c>
      <c r="M21" s="41">
        <f t="shared" si="36"/>
        <v>49.610000000000007</v>
      </c>
      <c r="N21" s="82"/>
      <c r="O21" s="41">
        <f t="shared" si="37"/>
        <v>10.561999999999998</v>
      </c>
      <c r="P21" s="41">
        <f t="shared" si="37"/>
        <v>12.030000000000008</v>
      </c>
      <c r="Q21" s="82"/>
      <c r="R21" s="76">
        <f t="shared" si="38"/>
        <v>9.9939430648092062E-2</v>
      </c>
      <c r="S21" s="76">
        <f t="shared" si="38"/>
        <v>0.10000886996629413</v>
      </c>
      <c r="T21" s="82"/>
      <c r="U21" s="41">
        <f t="shared" si="39"/>
        <v>66.040000000000006</v>
      </c>
      <c r="V21" s="41">
        <f t="shared" si="39"/>
        <v>75.16</v>
      </c>
      <c r="W21" s="82"/>
      <c r="X21" s="41">
        <f t="shared" si="40"/>
        <v>79.25</v>
      </c>
      <c r="Y21" s="41">
        <f t="shared" si="40"/>
        <v>90.19</v>
      </c>
      <c r="AA21" s="182">
        <f t="shared" ref="AA21:AB24" si="48">ROUNDDOWN(C21/(1-$X$1)*1.2,1)</f>
        <v>79.2</v>
      </c>
      <c r="AB21" s="182">
        <f t="shared" si="48"/>
        <v>90.1</v>
      </c>
      <c r="AD21" s="40">
        <f t="shared" si="41"/>
        <v>66</v>
      </c>
      <c r="AE21" s="40">
        <f t="shared" si="41"/>
        <v>75.083333333333329</v>
      </c>
      <c r="AG21" s="40">
        <f t="shared" ref="AG21:AH25" si="49">X21-AA21</f>
        <v>4.9999999999997158E-2</v>
      </c>
      <c r="AH21" s="40">
        <f t="shared" si="49"/>
        <v>9.0000000000003411E-2</v>
      </c>
      <c r="AJ21" s="40">
        <f t="shared" si="42"/>
        <v>3.96</v>
      </c>
      <c r="AK21" s="40">
        <f t="shared" si="42"/>
        <v>4.51</v>
      </c>
      <c r="AL21" s="40"/>
      <c r="AM21" s="180">
        <f t="shared" ref="AM21:AN25" si="50">SUM(U21-F21)-AG21</f>
        <v>26.366000000000007</v>
      </c>
      <c r="AN21" s="180">
        <f t="shared" si="50"/>
        <v>29.973999999999997</v>
      </c>
      <c r="AP21" s="76">
        <f t="shared" si="43"/>
        <v>9.9999999999999978E-2</v>
      </c>
      <c r="AQ21" s="76">
        <f t="shared" si="43"/>
        <v>9.9999999999999978E-2</v>
      </c>
      <c r="AS21" s="76">
        <f t="shared" si="44"/>
        <v>0.39924288310115086</v>
      </c>
      <c r="AT21" s="76">
        <f t="shared" si="44"/>
        <v>0.39880255455029268</v>
      </c>
      <c r="AV21" s="76">
        <f t="shared" si="45"/>
        <v>0.5</v>
      </c>
      <c r="AW21" s="76">
        <f t="shared" si="45"/>
        <v>0.5</v>
      </c>
      <c r="AX21" s="42"/>
      <c r="AY21" s="42">
        <f t="shared" si="46"/>
        <v>32.970000000000006</v>
      </c>
      <c r="AZ21" s="42">
        <f t="shared" si="46"/>
        <v>37.489999999999995</v>
      </c>
      <c r="BA21" s="42"/>
      <c r="BB21" s="76">
        <f t="shared" si="47"/>
        <v>0.49924288310115084</v>
      </c>
      <c r="BC21" s="76">
        <f t="shared" si="47"/>
        <v>0.49880255455029265</v>
      </c>
    </row>
    <row r="22" spans="2:55" x14ac:dyDescent="0.25">
      <c r="B22" s="25" t="s">
        <v>25</v>
      </c>
      <c r="C22" s="149">
        <f>ROUND('ST Standard from 4 Jun26'!C22+'ST Inc Cruise from 4 Jun26'!$B$98,2)</f>
        <v>39.840000000000003</v>
      </c>
      <c r="D22" s="149">
        <f>ROUND('ST Standard from 4 Jun26'!D22+'ST Inc Cruise from 4 Jun26'!$B$98,2)</f>
        <v>45.73</v>
      </c>
      <c r="E22" s="41"/>
      <c r="F22" s="41">
        <f t="shared" si="34"/>
        <v>47.808</v>
      </c>
      <c r="G22" s="41">
        <f t="shared" si="34"/>
        <v>54.875999999999998</v>
      </c>
      <c r="H22" s="82"/>
      <c r="I22" s="41">
        <f t="shared" si="35"/>
        <v>7.9679999999999964</v>
      </c>
      <c r="J22" s="41">
        <f t="shared" si="35"/>
        <v>9.1460000000000008</v>
      </c>
      <c r="K22" s="82"/>
      <c r="L22" s="41">
        <f t="shared" si="36"/>
        <v>52.591000000000008</v>
      </c>
      <c r="M22" s="41">
        <f t="shared" si="36"/>
        <v>60.368000000000009</v>
      </c>
      <c r="N22" s="82"/>
      <c r="O22" s="41">
        <f t="shared" si="37"/>
        <v>12.751000000000005</v>
      </c>
      <c r="P22" s="41">
        <f t="shared" si="37"/>
        <v>14.638000000000012</v>
      </c>
      <c r="Q22" s="82"/>
      <c r="R22" s="76">
        <f t="shared" si="38"/>
        <v>9.9983266398929058E-2</v>
      </c>
      <c r="S22" s="76">
        <f t="shared" si="38"/>
        <v>0.10004373496610541</v>
      </c>
      <c r="T22" s="82"/>
      <c r="U22" s="41">
        <f t="shared" si="39"/>
        <v>79.680000000000007</v>
      </c>
      <c r="V22" s="41">
        <f t="shared" si="39"/>
        <v>91.46</v>
      </c>
      <c r="W22" s="82"/>
      <c r="X22" s="41">
        <f t="shared" si="40"/>
        <v>95.62</v>
      </c>
      <c r="Y22" s="41">
        <f t="shared" si="40"/>
        <v>109.75</v>
      </c>
      <c r="AA22" s="182">
        <f t="shared" si="48"/>
        <v>95.6</v>
      </c>
      <c r="AB22" s="182">
        <f t="shared" si="48"/>
        <v>109.7</v>
      </c>
      <c r="AD22" s="40">
        <f t="shared" si="41"/>
        <v>79.666666666666671</v>
      </c>
      <c r="AE22" s="40">
        <f t="shared" si="41"/>
        <v>91.416666666666671</v>
      </c>
      <c r="AG22" s="40">
        <f t="shared" si="49"/>
        <v>2.0000000000010232E-2</v>
      </c>
      <c r="AH22" s="40">
        <f t="shared" si="49"/>
        <v>4.9999999999997158E-2</v>
      </c>
      <c r="AJ22" s="40">
        <f t="shared" si="42"/>
        <v>4.78</v>
      </c>
      <c r="AK22" s="40">
        <f t="shared" si="42"/>
        <v>5.49</v>
      </c>
      <c r="AL22" s="40"/>
      <c r="AM22" s="180">
        <f t="shared" si="50"/>
        <v>31.851999999999997</v>
      </c>
      <c r="AN22" s="180">
        <f t="shared" si="50"/>
        <v>36.533999999999999</v>
      </c>
      <c r="AP22" s="76">
        <f t="shared" si="43"/>
        <v>9.999999999999995E-2</v>
      </c>
      <c r="AQ22" s="76">
        <f t="shared" si="43"/>
        <v>0.10000000000000002</v>
      </c>
      <c r="AS22" s="76">
        <f t="shared" si="44"/>
        <v>0.39974899598393565</v>
      </c>
      <c r="AT22" s="76">
        <f t="shared" si="44"/>
        <v>0.39945331292368252</v>
      </c>
      <c r="AV22" s="76">
        <f t="shared" si="45"/>
        <v>0.5</v>
      </c>
      <c r="AW22" s="76">
        <f t="shared" si="45"/>
        <v>0.5</v>
      </c>
      <c r="AX22" s="42"/>
      <c r="AY22" s="42">
        <f t="shared" si="46"/>
        <v>39.819999999999993</v>
      </c>
      <c r="AZ22" s="42">
        <f t="shared" si="46"/>
        <v>45.68</v>
      </c>
      <c r="BA22" s="42"/>
      <c r="BB22" s="76">
        <f t="shared" si="47"/>
        <v>0.49974899598393563</v>
      </c>
      <c r="BC22" s="76">
        <f t="shared" si="47"/>
        <v>0.4994533129236825</v>
      </c>
    </row>
    <row r="23" spans="2:55" x14ac:dyDescent="0.25">
      <c r="B23" s="25" t="s">
        <v>26</v>
      </c>
      <c r="C23" s="149">
        <f>ROUND('ST Standard from 4 Jun26'!C23+'ST Inc Cruise from 4 Jun26'!$B$98,2)</f>
        <v>48.71</v>
      </c>
      <c r="D23" s="149">
        <f>ROUND('ST Standard from 4 Jun26'!D23+'ST Inc Cruise from 4 Jun26'!$B$98,2)</f>
        <v>55.92</v>
      </c>
      <c r="E23" s="41"/>
      <c r="F23" s="41">
        <f t="shared" si="34"/>
        <v>58.451999999999998</v>
      </c>
      <c r="G23" s="41">
        <f t="shared" si="34"/>
        <v>67.103999999999999</v>
      </c>
      <c r="H23" s="82"/>
      <c r="I23" s="41">
        <f t="shared" si="35"/>
        <v>9.7419999999999973</v>
      </c>
      <c r="J23" s="41">
        <f t="shared" si="35"/>
        <v>11.183999999999997</v>
      </c>
      <c r="K23" s="82"/>
      <c r="L23" s="41">
        <f t="shared" si="36"/>
        <v>64.295000000000002</v>
      </c>
      <c r="M23" s="41">
        <f t="shared" si="36"/>
        <v>73.81</v>
      </c>
      <c r="N23" s="82"/>
      <c r="O23" s="41">
        <f t="shared" si="37"/>
        <v>15.585000000000001</v>
      </c>
      <c r="P23" s="41">
        <f t="shared" si="37"/>
        <v>17.89</v>
      </c>
      <c r="Q23" s="82"/>
      <c r="R23" s="76">
        <f t="shared" si="38"/>
        <v>0.10008211866146581</v>
      </c>
      <c r="S23" s="76">
        <f t="shared" si="38"/>
        <v>9.9994039103481161E-2</v>
      </c>
      <c r="T23" s="82"/>
      <c r="U23" s="41">
        <f t="shared" si="39"/>
        <v>97.42</v>
      </c>
      <c r="V23" s="41">
        <f t="shared" si="39"/>
        <v>111.84</v>
      </c>
      <c r="W23" s="82"/>
      <c r="X23" s="41">
        <f t="shared" si="40"/>
        <v>116.9</v>
      </c>
      <c r="Y23" s="41">
        <f t="shared" si="40"/>
        <v>134.21</v>
      </c>
      <c r="AA23" s="182">
        <f t="shared" si="48"/>
        <v>116.9</v>
      </c>
      <c r="AB23" s="182">
        <f t="shared" si="48"/>
        <v>134.19999999999999</v>
      </c>
      <c r="AD23" s="40">
        <f t="shared" si="41"/>
        <v>97.416666666666671</v>
      </c>
      <c r="AE23" s="40">
        <f t="shared" si="41"/>
        <v>111.83333333333333</v>
      </c>
      <c r="AG23" s="40">
        <f t="shared" si="49"/>
        <v>0</v>
      </c>
      <c r="AH23" s="40">
        <f t="shared" si="49"/>
        <v>1.0000000000019327E-2</v>
      </c>
      <c r="AJ23" s="40">
        <f t="shared" si="42"/>
        <v>5.85</v>
      </c>
      <c r="AK23" s="40">
        <f t="shared" si="42"/>
        <v>6.71</v>
      </c>
      <c r="AL23" s="40"/>
      <c r="AM23" s="180">
        <f t="shared" si="50"/>
        <v>38.968000000000004</v>
      </c>
      <c r="AN23" s="180">
        <f t="shared" si="50"/>
        <v>44.725999999999985</v>
      </c>
      <c r="AP23" s="76">
        <f t="shared" si="43"/>
        <v>9.9999999999999964E-2</v>
      </c>
      <c r="AQ23" s="76">
        <f t="shared" si="43"/>
        <v>9.9999999999999978E-2</v>
      </c>
      <c r="AS23" s="76">
        <f t="shared" si="44"/>
        <v>0.4</v>
      </c>
      <c r="AT23" s="76">
        <f t="shared" si="44"/>
        <v>0.39991058655221728</v>
      </c>
      <c r="AV23" s="76">
        <f t="shared" si="45"/>
        <v>0.5</v>
      </c>
      <c r="AW23" s="76">
        <f t="shared" si="45"/>
        <v>0.5</v>
      </c>
      <c r="AX23" s="42"/>
      <c r="AY23" s="42">
        <f t="shared" si="46"/>
        <v>48.71</v>
      </c>
      <c r="AZ23" s="42">
        <f t="shared" si="46"/>
        <v>55.909999999999982</v>
      </c>
      <c r="BA23" s="42"/>
      <c r="BB23" s="76">
        <f t="shared" si="47"/>
        <v>0.5</v>
      </c>
      <c r="BC23" s="76">
        <f t="shared" si="47"/>
        <v>0.49991058655221726</v>
      </c>
    </row>
    <row r="24" spans="2:55" x14ac:dyDescent="0.25">
      <c r="B24" s="25" t="s">
        <v>27</v>
      </c>
      <c r="C24" s="149">
        <f>ROUND('ST Standard from 4 Jun26'!C24+'ST Inc Cruise from 4 Jun26'!$B$98,2)</f>
        <v>54.49</v>
      </c>
      <c r="D24" s="149">
        <f>ROUND('ST Standard from 4 Jun26'!D24+'ST Inc Cruise from 4 Jun26'!$B$98,2)</f>
        <v>61.51</v>
      </c>
      <c r="E24" s="41"/>
      <c r="F24" s="41">
        <f t="shared" si="34"/>
        <v>65.388000000000005</v>
      </c>
      <c r="G24" s="41">
        <f t="shared" si="34"/>
        <v>73.811999999999998</v>
      </c>
      <c r="H24" s="82"/>
      <c r="I24" s="41">
        <f t="shared" si="35"/>
        <v>10.898000000000003</v>
      </c>
      <c r="J24" s="41">
        <f t="shared" si="35"/>
        <v>12.302</v>
      </c>
      <c r="K24" s="82"/>
      <c r="L24" s="41">
        <f t="shared" si="36"/>
        <v>71.929000000000002</v>
      </c>
      <c r="M24" s="41">
        <f t="shared" si="36"/>
        <v>81.191000000000003</v>
      </c>
      <c r="N24" s="82"/>
      <c r="O24" s="41">
        <f t="shared" si="37"/>
        <v>17.439</v>
      </c>
      <c r="P24" s="41">
        <f t="shared" si="37"/>
        <v>19.681000000000004</v>
      </c>
      <c r="Q24" s="82"/>
      <c r="R24" s="76">
        <f t="shared" si="38"/>
        <v>0.10001835199119104</v>
      </c>
      <c r="S24" s="76">
        <f t="shared" si="38"/>
        <v>9.998374248089742E-2</v>
      </c>
      <c r="T24" s="82"/>
      <c r="U24" s="41">
        <f t="shared" si="39"/>
        <v>108.98</v>
      </c>
      <c r="V24" s="41">
        <f t="shared" si="39"/>
        <v>123.02</v>
      </c>
      <c r="W24" s="82"/>
      <c r="X24" s="41">
        <f t="shared" si="40"/>
        <v>130.78</v>
      </c>
      <c r="Y24" s="41">
        <f t="shared" si="40"/>
        <v>147.62</v>
      </c>
      <c r="AA24" s="182">
        <f t="shared" si="48"/>
        <v>130.69999999999999</v>
      </c>
      <c r="AB24" s="182">
        <f t="shared" si="48"/>
        <v>147.6</v>
      </c>
      <c r="AD24" s="40">
        <f t="shared" si="41"/>
        <v>108.91666666666666</v>
      </c>
      <c r="AE24" s="40">
        <f t="shared" si="41"/>
        <v>123</v>
      </c>
      <c r="AG24" s="40">
        <f t="shared" si="49"/>
        <v>8.0000000000012506E-2</v>
      </c>
      <c r="AH24" s="40">
        <f t="shared" si="49"/>
        <v>2.0000000000010232E-2</v>
      </c>
      <c r="AJ24" s="40">
        <f t="shared" si="42"/>
        <v>6.54</v>
      </c>
      <c r="AK24" s="40">
        <f t="shared" si="42"/>
        <v>7.38</v>
      </c>
      <c r="AL24" s="40"/>
      <c r="AM24" s="180">
        <f t="shared" si="50"/>
        <v>43.511999999999986</v>
      </c>
      <c r="AN24" s="180">
        <f t="shared" si="50"/>
        <v>49.187999999999988</v>
      </c>
      <c r="AP24" s="76">
        <f t="shared" si="43"/>
        <v>0.10000000000000002</v>
      </c>
      <c r="AQ24" s="76">
        <f t="shared" si="43"/>
        <v>0.1</v>
      </c>
      <c r="AS24" s="76">
        <f t="shared" si="44"/>
        <v>0.39926592035235808</v>
      </c>
      <c r="AT24" s="76">
        <f t="shared" si="44"/>
        <v>0.39983742480897405</v>
      </c>
      <c r="AV24" s="76">
        <f t="shared" si="45"/>
        <v>0.5</v>
      </c>
      <c r="AW24" s="76">
        <f t="shared" si="45"/>
        <v>0.5</v>
      </c>
      <c r="AX24" s="42"/>
      <c r="AY24" s="42">
        <f t="shared" si="46"/>
        <v>54.409999999999989</v>
      </c>
      <c r="AZ24" s="42">
        <f t="shared" si="46"/>
        <v>61.489999999999988</v>
      </c>
      <c r="BA24" s="42"/>
      <c r="BB24" s="76">
        <f t="shared" si="47"/>
        <v>0.49926592035235812</v>
      </c>
      <c r="BC24" s="76">
        <f t="shared" si="47"/>
        <v>0.49983742480897408</v>
      </c>
    </row>
    <row r="25" spans="2:55" x14ac:dyDescent="0.25">
      <c r="B25" s="25" t="s">
        <v>29</v>
      </c>
      <c r="C25" s="149">
        <f>ROUND('ST Standard from 4 Jun26'!C25,2)</f>
        <v>7.41</v>
      </c>
      <c r="D25" s="149">
        <f>ROUND('ST Standard from 4 Jun26'!D25,2)</f>
        <v>8.1</v>
      </c>
      <c r="E25" s="41"/>
      <c r="F25" s="41">
        <f t="shared" si="34"/>
        <v>8.8919999999999995</v>
      </c>
      <c r="G25" s="41">
        <f t="shared" si="34"/>
        <v>9.7199999999999989</v>
      </c>
      <c r="H25" s="82"/>
      <c r="I25" s="41">
        <f t="shared" si="35"/>
        <v>1.4819999999999993</v>
      </c>
      <c r="J25" s="41">
        <f t="shared" si="35"/>
        <v>1.6199999999999992</v>
      </c>
      <c r="K25" s="82"/>
      <c r="L25" s="41">
        <f t="shared" si="36"/>
        <v>9.7790000000000017</v>
      </c>
      <c r="M25" s="41">
        <f t="shared" si="36"/>
        <v>10.692000000000002</v>
      </c>
      <c r="N25" s="82"/>
      <c r="O25" s="41">
        <f t="shared" si="37"/>
        <v>2.3690000000000015</v>
      </c>
      <c r="P25" s="41">
        <f t="shared" si="37"/>
        <v>2.5920000000000023</v>
      </c>
      <c r="Q25" s="82"/>
      <c r="R25" s="76">
        <f t="shared" si="38"/>
        <v>0.10008996851102114</v>
      </c>
      <c r="S25" s="76">
        <f t="shared" si="38"/>
        <v>9.9794238683127576E-2</v>
      </c>
      <c r="T25" s="82"/>
      <c r="U25" s="41">
        <f t="shared" si="39"/>
        <v>14.82</v>
      </c>
      <c r="V25" s="41">
        <f t="shared" si="39"/>
        <v>16.2</v>
      </c>
      <c r="W25" s="82"/>
      <c r="X25" s="41">
        <f t="shared" si="40"/>
        <v>17.78</v>
      </c>
      <c r="Y25" s="41">
        <f t="shared" si="40"/>
        <v>19.440000000000001</v>
      </c>
      <c r="AA25" s="182">
        <f>ROUNDDOWN(C25/(1-$X$1)*1.2,1)</f>
        <v>17.7</v>
      </c>
      <c r="AB25" s="182">
        <f>ROUNDDOWN(D25/(1-$X$1)*1.2,1)</f>
        <v>19.399999999999999</v>
      </c>
      <c r="AD25" s="40">
        <f t="shared" si="41"/>
        <v>14.75</v>
      </c>
      <c r="AE25" s="40">
        <f t="shared" si="41"/>
        <v>16.166666666666668</v>
      </c>
      <c r="AG25" s="40">
        <f t="shared" si="49"/>
        <v>8.0000000000001847E-2</v>
      </c>
      <c r="AH25" s="40">
        <f t="shared" si="49"/>
        <v>4.00000000000027E-2</v>
      </c>
      <c r="AJ25" s="40">
        <f t="shared" si="42"/>
        <v>0.89</v>
      </c>
      <c r="AK25" s="40">
        <f t="shared" si="42"/>
        <v>0.97</v>
      </c>
      <c r="AL25" s="40"/>
      <c r="AM25" s="180">
        <f t="shared" si="50"/>
        <v>5.847999999999999</v>
      </c>
      <c r="AN25" s="180">
        <f t="shared" si="50"/>
        <v>6.4399999999999977</v>
      </c>
      <c r="AP25" s="76">
        <f t="shared" si="43"/>
        <v>9.999999999999995E-2</v>
      </c>
      <c r="AQ25" s="76">
        <f t="shared" si="43"/>
        <v>9.999999999999995E-2</v>
      </c>
      <c r="AS25" s="76">
        <f t="shared" si="44"/>
        <v>0.39460188933873136</v>
      </c>
      <c r="AT25" s="76">
        <f t="shared" si="44"/>
        <v>0.39753086419753075</v>
      </c>
      <c r="AV25" s="76">
        <f t="shared" si="45"/>
        <v>0.5</v>
      </c>
      <c r="AW25" s="76">
        <f t="shared" si="45"/>
        <v>0.5</v>
      </c>
      <c r="AX25" s="42"/>
      <c r="AY25" s="42">
        <f t="shared" si="46"/>
        <v>7.3299999999999983</v>
      </c>
      <c r="AZ25" s="42">
        <f t="shared" si="46"/>
        <v>8.0599999999999969</v>
      </c>
      <c r="BA25" s="42"/>
      <c r="BB25" s="76">
        <f t="shared" si="47"/>
        <v>0.49460188933873134</v>
      </c>
      <c r="BC25" s="76">
        <f t="shared" si="47"/>
        <v>0.49753086419753068</v>
      </c>
    </row>
    <row r="26" spans="2:55" x14ac:dyDescent="0.25">
      <c r="B26" s="25"/>
      <c r="C26" s="41"/>
      <c r="D26" s="41"/>
      <c r="E26" s="41"/>
      <c r="F26" s="41"/>
      <c r="G26" s="41"/>
      <c r="H26" s="82"/>
      <c r="I26" s="82"/>
      <c r="J26" s="82"/>
      <c r="K26" s="82"/>
      <c r="L26" s="41"/>
      <c r="M26" s="41"/>
      <c r="N26" s="4"/>
      <c r="O26" s="4"/>
      <c r="P26" s="4"/>
      <c r="Q26" s="4"/>
      <c r="R26" s="78"/>
      <c r="T26" s="4"/>
      <c r="U26" s="4"/>
      <c r="V26" s="4"/>
      <c r="W26" s="4"/>
      <c r="AJ26" s="40"/>
      <c r="AK26" s="40"/>
      <c r="AL26" s="40"/>
      <c r="AM26" s="102"/>
      <c r="AN26" s="102"/>
      <c r="AS26" s="76"/>
      <c r="AT26" s="76"/>
      <c r="AV26" s="40"/>
      <c r="AW26" s="40"/>
      <c r="BB26" s="77"/>
      <c r="BC26" s="77"/>
    </row>
    <row r="27" spans="2:55" x14ac:dyDescent="0.25">
      <c r="B27" s="32" t="s">
        <v>32</v>
      </c>
      <c r="C27" s="41"/>
      <c r="D27" s="41"/>
      <c r="E27" s="41"/>
      <c r="F27" s="41"/>
      <c r="G27" s="41"/>
      <c r="H27" s="82"/>
      <c r="I27" s="82"/>
      <c r="J27" s="82"/>
      <c r="K27" s="82"/>
      <c r="L27" s="41"/>
      <c r="M27" s="41"/>
      <c r="N27" s="4"/>
      <c r="O27" s="4"/>
      <c r="P27" s="4"/>
      <c r="Q27" s="4"/>
      <c r="R27" s="78"/>
      <c r="T27" s="4"/>
      <c r="U27" s="4"/>
      <c r="V27" s="4"/>
      <c r="W27" s="4"/>
      <c r="AJ27" s="40"/>
      <c r="AK27" s="40"/>
      <c r="AL27" s="40"/>
      <c r="AS27" s="103"/>
      <c r="AT27" s="103"/>
      <c r="AV27" s="40"/>
      <c r="AW27" s="40"/>
      <c r="BB27" s="77"/>
      <c r="BC27" s="77"/>
    </row>
    <row r="28" spans="2:55" x14ac:dyDescent="0.25">
      <c r="B28" s="25" t="s">
        <v>23</v>
      </c>
      <c r="C28" s="149">
        <f>ROUND('ST Standard from 4 Jun26'!C28+'ST Inc Cruise from 4 Jun26'!$B$98,2)</f>
        <v>31.65</v>
      </c>
      <c r="D28" s="149">
        <f>ROUND('ST Standard from 4 Jun26'!D28+'ST Inc Cruise from 4 Jun26'!$B$98,2)</f>
        <v>37.31</v>
      </c>
      <c r="E28" s="41"/>
      <c r="F28" s="41">
        <f t="shared" ref="F28:G33" si="51">C28*SUM(1+$G$1/$X$1)</f>
        <v>37.979999999999997</v>
      </c>
      <c r="G28" s="41">
        <f t="shared" si="51"/>
        <v>44.771999999999998</v>
      </c>
      <c r="H28" s="82"/>
      <c r="I28" s="41">
        <f t="shared" ref="I28:J33" si="52">F28-C28</f>
        <v>6.3299999999999983</v>
      </c>
      <c r="J28" s="41">
        <f t="shared" si="52"/>
        <v>7.4619999999999962</v>
      </c>
      <c r="K28" s="82"/>
      <c r="L28" s="41">
        <f t="shared" ref="L28:M33" si="53">ROUND(C28*(1+$G$1*2),2)*SUM(1+$M$1)</f>
        <v>41.777999999999999</v>
      </c>
      <c r="M28" s="41">
        <f t="shared" si="53"/>
        <v>49.247000000000007</v>
      </c>
      <c r="N28" s="82"/>
      <c r="O28" s="41">
        <f t="shared" ref="O28:P32" si="54">L28-C28</f>
        <v>10.128</v>
      </c>
      <c r="P28" s="41">
        <f t="shared" si="54"/>
        <v>11.937000000000005</v>
      </c>
      <c r="Q28" s="82"/>
      <c r="R28" s="76">
        <f t="shared" ref="R28:S33" si="55">AJ28/F28</f>
        <v>0.10005265929436546</v>
      </c>
      <c r="S28" s="76">
        <f t="shared" si="55"/>
        <v>0.10006253908692934</v>
      </c>
      <c r="T28" s="82"/>
      <c r="U28" s="41">
        <f t="shared" ref="U28:V33" si="56">SUM(C28/(1-$X$1))</f>
        <v>63.3</v>
      </c>
      <c r="V28" s="41">
        <f t="shared" si="56"/>
        <v>74.62</v>
      </c>
      <c r="W28" s="82"/>
      <c r="X28" s="41">
        <f t="shared" ref="X28:Y33" si="57">ROUND(C28/(1-$X$1)*1.2,2)</f>
        <v>75.959999999999994</v>
      </c>
      <c r="Y28" s="41">
        <f t="shared" si="57"/>
        <v>89.54</v>
      </c>
      <c r="AA28" s="182">
        <f>ROUNDDOWN(C28/(1-$X$1)*1.2,1)</f>
        <v>75.900000000000006</v>
      </c>
      <c r="AB28" s="182">
        <f>ROUNDDOWN(D28/(1-$X$1)*1.2,1)</f>
        <v>89.5</v>
      </c>
      <c r="AD28" s="40">
        <f t="shared" ref="AD28:AE33" si="58">AA28/1.2</f>
        <v>63.250000000000007</v>
      </c>
      <c r="AE28" s="40">
        <f t="shared" si="58"/>
        <v>74.583333333333343</v>
      </c>
      <c r="AG28" s="40">
        <f>X28-AA28</f>
        <v>5.9999999999988063E-2</v>
      </c>
      <c r="AH28" s="40">
        <f>Y28-AB28</f>
        <v>4.0000000000006253E-2</v>
      </c>
      <c r="AJ28" s="40">
        <f t="shared" ref="AJ28:AK33" si="59">ROUND(L28*(1-(1/(1+$AL$1))),2)</f>
        <v>3.8</v>
      </c>
      <c r="AK28" s="40">
        <f t="shared" si="59"/>
        <v>4.4800000000000004</v>
      </c>
      <c r="AL28" s="40"/>
      <c r="AM28" s="180">
        <f>SUM(U28-F28)-AG28</f>
        <v>25.260000000000012</v>
      </c>
      <c r="AN28" s="180">
        <f>SUM(V28-G28)-AH28</f>
        <v>29.808</v>
      </c>
      <c r="AP28" s="76">
        <f t="shared" ref="AP28:AQ33" si="60">(SUM(F28-C28)/C28)*$X$1</f>
        <v>9.9999999999999978E-2</v>
      </c>
      <c r="AQ28" s="76">
        <f t="shared" si="60"/>
        <v>9.9999999999999936E-2</v>
      </c>
      <c r="AS28" s="76">
        <f t="shared" ref="AS28:AT33" si="61">AM28/U28</f>
        <v>0.39905213270142204</v>
      </c>
      <c r="AT28" s="76">
        <f t="shared" si="61"/>
        <v>0.39946395068346285</v>
      </c>
      <c r="AV28" s="76">
        <f t="shared" ref="AV28:AW33" si="62">C28/U28</f>
        <v>0.5</v>
      </c>
      <c r="AW28" s="76">
        <f t="shared" si="62"/>
        <v>0.5</v>
      </c>
      <c r="AX28" s="42"/>
      <c r="AY28" s="42">
        <f t="shared" ref="AY28:AZ33" si="63">I28+AM28</f>
        <v>31.590000000000011</v>
      </c>
      <c r="AZ28" s="42">
        <f t="shared" si="63"/>
        <v>37.269999999999996</v>
      </c>
      <c r="BA28" s="42"/>
      <c r="BB28" s="76">
        <f t="shared" ref="BB28:BC33" si="64">AY28/(C28/$X$1)</f>
        <v>0.49905213270142201</v>
      </c>
      <c r="BC28" s="76">
        <f t="shared" si="64"/>
        <v>0.49946395068346278</v>
      </c>
    </row>
    <row r="29" spans="2:55" x14ac:dyDescent="0.25">
      <c r="B29" s="25" t="s">
        <v>24</v>
      </c>
      <c r="C29" s="149">
        <f>ROUND('ST Standard from 4 Jun26'!C29+'ST Inc Cruise from 4 Jun26'!$B$98,2)</f>
        <v>37.86</v>
      </c>
      <c r="D29" s="149">
        <f>ROUND('ST Standard from 4 Jun26'!D29+'ST Inc Cruise from 4 Jun26'!$B$98,2)</f>
        <v>44.45</v>
      </c>
      <c r="E29" s="41"/>
      <c r="F29" s="41">
        <f t="shared" si="51"/>
        <v>45.431999999999995</v>
      </c>
      <c r="G29" s="41">
        <f t="shared" si="51"/>
        <v>53.34</v>
      </c>
      <c r="H29" s="82"/>
      <c r="I29" s="41">
        <f t="shared" si="52"/>
        <v>7.5719999999999956</v>
      </c>
      <c r="J29" s="41">
        <f t="shared" si="52"/>
        <v>8.89</v>
      </c>
      <c r="K29" s="82"/>
      <c r="L29" s="41">
        <f t="shared" si="53"/>
        <v>49.973000000000006</v>
      </c>
      <c r="M29" s="41">
        <f t="shared" si="53"/>
        <v>58.674000000000007</v>
      </c>
      <c r="N29" s="82"/>
      <c r="O29" s="41">
        <f t="shared" si="54"/>
        <v>12.113000000000007</v>
      </c>
      <c r="P29" s="41">
        <f t="shared" si="54"/>
        <v>14.224000000000004</v>
      </c>
      <c r="Q29" s="82"/>
      <c r="R29" s="76">
        <f t="shared" si="55"/>
        <v>9.9929565064271891E-2</v>
      </c>
      <c r="S29" s="76">
        <f t="shared" si="55"/>
        <v>9.9925009373828269E-2</v>
      </c>
      <c r="T29" s="82"/>
      <c r="U29" s="41">
        <f t="shared" si="56"/>
        <v>75.72</v>
      </c>
      <c r="V29" s="41">
        <f t="shared" si="56"/>
        <v>88.9</v>
      </c>
      <c r="W29" s="82"/>
      <c r="X29" s="41">
        <f t="shared" si="57"/>
        <v>90.86</v>
      </c>
      <c r="Y29" s="41">
        <f t="shared" si="57"/>
        <v>106.68</v>
      </c>
      <c r="AA29" s="182">
        <f t="shared" ref="AA29:AB32" si="65">ROUNDDOWN(C29/(1-$X$1)*1.2,1)</f>
        <v>90.8</v>
      </c>
      <c r="AB29" s="182">
        <f t="shared" si="65"/>
        <v>106.6</v>
      </c>
      <c r="AD29" s="40">
        <f t="shared" si="58"/>
        <v>75.666666666666671</v>
      </c>
      <c r="AE29" s="40">
        <f t="shared" si="58"/>
        <v>88.833333333333329</v>
      </c>
      <c r="AG29" s="40">
        <f t="shared" ref="AG29:AH33" si="66">X29-AA29</f>
        <v>6.0000000000002274E-2</v>
      </c>
      <c r="AH29" s="40">
        <f t="shared" si="66"/>
        <v>8.0000000000012506E-2</v>
      </c>
      <c r="AJ29" s="40">
        <f t="shared" si="59"/>
        <v>4.54</v>
      </c>
      <c r="AK29" s="40">
        <f t="shared" si="59"/>
        <v>5.33</v>
      </c>
      <c r="AL29" s="40"/>
      <c r="AM29" s="180">
        <f t="shared" ref="AM29:AN33" si="67">SUM(U29-F29)-AG29</f>
        <v>30.228000000000002</v>
      </c>
      <c r="AN29" s="180">
        <f t="shared" si="67"/>
        <v>35.47999999999999</v>
      </c>
      <c r="AP29" s="76">
        <f t="shared" si="60"/>
        <v>9.999999999999995E-2</v>
      </c>
      <c r="AQ29" s="76">
        <f t="shared" si="60"/>
        <v>0.1</v>
      </c>
      <c r="AS29" s="76">
        <f t="shared" si="61"/>
        <v>0.39920760697305868</v>
      </c>
      <c r="AT29" s="76">
        <f t="shared" si="61"/>
        <v>0.39910011248593913</v>
      </c>
      <c r="AV29" s="76">
        <f t="shared" si="62"/>
        <v>0.5</v>
      </c>
      <c r="AW29" s="76">
        <f t="shared" si="62"/>
        <v>0.5</v>
      </c>
      <c r="AX29" s="42"/>
      <c r="AY29" s="42">
        <f t="shared" si="63"/>
        <v>37.799999999999997</v>
      </c>
      <c r="AZ29" s="42">
        <f t="shared" si="63"/>
        <v>44.36999999999999</v>
      </c>
      <c r="BA29" s="42"/>
      <c r="BB29" s="76">
        <f t="shared" si="64"/>
        <v>0.4992076069730586</v>
      </c>
      <c r="BC29" s="76">
        <f t="shared" si="64"/>
        <v>0.49910011248593911</v>
      </c>
    </row>
    <row r="30" spans="2:55" x14ac:dyDescent="0.25">
      <c r="B30" s="25" t="s">
        <v>25</v>
      </c>
      <c r="C30" s="149">
        <f>ROUND('ST Standard from 4 Jun26'!C30+'ST Inc Cruise from 4 Jun26'!$B$98,2)</f>
        <v>46.24</v>
      </c>
      <c r="D30" s="149">
        <f>ROUND('ST Standard from 4 Jun26'!D30+'ST Inc Cruise from 4 Jun26'!$B$98,2)</f>
        <v>51.15</v>
      </c>
      <c r="E30" s="41"/>
      <c r="F30" s="41">
        <f t="shared" si="51"/>
        <v>55.488</v>
      </c>
      <c r="G30" s="41">
        <f t="shared" si="51"/>
        <v>61.379999999999995</v>
      </c>
      <c r="H30" s="82"/>
      <c r="I30" s="41">
        <f t="shared" si="52"/>
        <v>9.2479999999999976</v>
      </c>
      <c r="J30" s="41">
        <f t="shared" si="52"/>
        <v>10.229999999999997</v>
      </c>
      <c r="K30" s="82"/>
      <c r="L30" s="41">
        <f t="shared" si="53"/>
        <v>61.039000000000009</v>
      </c>
      <c r="M30" s="41">
        <f t="shared" si="53"/>
        <v>67.518000000000015</v>
      </c>
      <c r="N30" s="82"/>
      <c r="O30" s="41">
        <f t="shared" si="54"/>
        <v>14.799000000000007</v>
      </c>
      <c r="P30" s="41">
        <f t="shared" si="54"/>
        <v>16.368000000000016</v>
      </c>
      <c r="Q30" s="82"/>
      <c r="R30" s="76">
        <f t="shared" si="55"/>
        <v>0.10002162629757785</v>
      </c>
      <c r="S30" s="76">
        <f t="shared" si="55"/>
        <v>0.10003258390355164</v>
      </c>
      <c r="T30" s="82"/>
      <c r="U30" s="41">
        <f t="shared" si="56"/>
        <v>92.48</v>
      </c>
      <c r="V30" s="41">
        <f t="shared" si="56"/>
        <v>102.3</v>
      </c>
      <c r="W30" s="82"/>
      <c r="X30" s="41">
        <f t="shared" si="57"/>
        <v>110.98</v>
      </c>
      <c r="Y30" s="41">
        <f t="shared" si="57"/>
        <v>122.76</v>
      </c>
      <c r="AA30" s="182">
        <f t="shared" si="65"/>
        <v>110.9</v>
      </c>
      <c r="AB30" s="182">
        <f t="shared" si="65"/>
        <v>122.7</v>
      </c>
      <c r="AD30" s="40">
        <f t="shared" si="58"/>
        <v>92.416666666666671</v>
      </c>
      <c r="AE30" s="40">
        <f t="shared" si="58"/>
        <v>102.25</v>
      </c>
      <c r="AG30" s="40">
        <f t="shared" si="66"/>
        <v>7.9999999999998295E-2</v>
      </c>
      <c r="AH30" s="40">
        <f t="shared" si="66"/>
        <v>6.0000000000002274E-2</v>
      </c>
      <c r="AJ30" s="40">
        <f t="shared" si="59"/>
        <v>5.55</v>
      </c>
      <c r="AK30" s="40">
        <f t="shared" si="59"/>
        <v>6.14</v>
      </c>
      <c r="AL30" s="40"/>
      <c r="AM30" s="180">
        <f t="shared" si="67"/>
        <v>36.912000000000006</v>
      </c>
      <c r="AN30" s="180">
        <f t="shared" si="67"/>
        <v>40.86</v>
      </c>
      <c r="AP30" s="76">
        <f t="shared" si="60"/>
        <v>9.9999999999999964E-2</v>
      </c>
      <c r="AQ30" s="76">
        <f t="shared" si="60"/>
        <v>9.9999999999999978E-2</v>
      </c>
      <c r="AS30" s="76">
        <f t="shared" si="61"/>
        <v>0.39913494809688588</v>
      </c>
      <c r="AT30" s="76">
        <f t="shared" si="61"/>
        <v>0.39941348973607038</v>
      </c>
      <c r="AV30" s="76">
        <f t="shared" si="62"/>
        <v>0.5</v>
      </c>
      <c r="AW30" s="76">
        <f t="shared" si="62"/>
        <v>0.5</v>
      </c>
      <c r="AX30" s="42"/>
      <c r="AY30" s="42">
        <f t="shared" si="63"/>
        <v>46.160000000000004</v>
      </c>
      <c r="AZ30" s="42">
        <f t="shared" si="63"/>
        <v>51.089999999999996</v>
      </c>
      <c r="BA30" s="42"/>
      <c r="BB30" s="76">
        <f t="shared" si="64"/>
        <v>0.49913494809688586</v>
      </c>
      <c r="BC30" s="76">
        <f t="shared" si="64"/>
        <v>0.49941348973607036</v>
      </c>
    </row>
    <row r="31" spans="2:55" x14ac:dyDescent="0.25">
      <c r="B31" s="25" t="s">
        <v>33</v>
      </c>
      <c r="C31" s="149">
        <f>ROUND('ST Standard from 4 Jun26'!C31+'ST Inc Cruise from 4 Jun26'!$B$98,2)</f>
        <v>57.41</v>
      </c>
      <c r="D31" s="149">
        <f>ROUND('ST Standard from 4 Jun26'!D31+'ST Inc Cruise from 4 Jun26'!$B$98,2)</f>
        <v>65.7</v>
      </c>
      <c r="E31" s="41"/>
      <c r="F31" s="41">
        <f t="shared" si="51"/>
        <v>68.891999999999996</v>
      </c>
      <c r="G31" s="41">
        <f t="shared" si="51"/>
        <v>78.84</v>
      </c>
      <c r="H31" s="82"/>
      <c r="I31" s="41">
        <f t="shared" si="52"/>
        <v>11.481999999999999</v>
      </c>
      <c r="J31" s="41">
        <f t="shared" si="52"/>
        <v>13.14</v>
      </c>
      <c r="K31" s="82"/>
      <c r="L31" s="41">
        <f t="shared" si="53"/>
        <v>75.779000000000011</v>
      </c>
      <c r="M31" s="41">
        <f t="shared" si="53"/>
        <v>86.724000000000004</v>
      </c>
      <c r="N31" s="82"/>
      <c r="O31" s="41">
        <f t="shared" si="54"/>
        <v>18.369000000000014</v>
      </c>
      <c r="P31" s="41">
        <f t="shared" si="54"/>
        <v>21.024000000000001</v>
      </c>
      <c r="Q31" s="82"/>
      <c r="R31" s="76">
        <f t="shared" si="55"/>
        <v>0.1000116123787958</v>
      </c>
      <c r="S31" s="76">
        <f t="shared" si="55"/>
        <v>9.9949264332825971E-2</v>
      </c>
      <c r="T31" s="82"/>
      <c r="U31" s="41">
        <f t="shared" si="56"/>
        <v>114.82</v>
      </c>
      <c r="V31" s="41">
        <f t="shared" si="56"/>
        <v>131.4</v>
      </c>
      <c r="W31" s="82"/>
      <c r="X31" s="41">
        <f t="shared" si="57"/>
        <v>137.78</v>
      </c>
      <c r="Y31" s="41">
        <f t="shared" si="57"/>
        <v>157.68</v>
      </c>
      <c r="AA31" s="182">
        <f t="shared" si="65"/>
        <v>137.69999999999999</v>
      </c>
      <c r="AB31" s="182">
        <f t="shared" si="65"/>
        <v>157.6</v>
      </c>
      <c r="AD31" s="40">
        <f t="shared" si="58"/>
        <v>114.75</v>
      </c>
      <c r="AE31" s="40">
        <f t="shared" si="58"/>
        <v>131.33333333333334</v>
      </c>
      <c r="AG31" s="40">
        <f t="shared" si="66"/>
        <v>8.0000000000012506E-2</v>
      </c>
      <c r="AH31" s="40">
        <f t="shared" si="66"/>
        <v>8.0000000000012506E-2</v>
      </c>
      <c r="AJ31" s="40">
        <f t="shared" si="59"/>
        <v>6.89</v>
      </c>
      <c r="AK31" s="40">
        <f t="shared" si="59"/>
        <v>7.88</v>
      </c>
      <c r="AL31" s="40"/>
      <c r="AM31" s="180">
        <f t="shared" si="67"/>
        <v>45.847999999999985</v>
      </c>
      <c r="AN31" s="180">
        <f t="shared" si="67"/>
        <v>52.47999999999999</v>
      </c>
      <c r="AP31" s="76">
        <f t="shared" si="60"/>
        <v>0.1</v>
      </c>
      <c r="AQ31" s="76">
        <f t="shared" si="60"/>
        <v>0.1</v>
      </c>
      <c r="AS31" s="76">
        <f t="shared" si="61"/>
        <v>0.39930325727225213</v>
      </c>
      <c r="AT31" s="76">
        <f t="shared" si="61"/>
        <v>0.39939117199391161</v>
      </c>
      <c r="AV31" s="76">
        <f t="shared" si="62"/>
        <v>0.5</v>
      </c>
      <c r="AW31" s="76">
        <f t="shared" si="62"/>
        <v>0.5</v>
      </c>
      <c r="AX31" s="42"/>
      <c r="AY31" s="42">
        <f t="shared" si="63"/>
        <v>57.329999999999984</v>
      </c>
      <c r="AZ31" s="42">
        <f t="shared" si="63"/>
        <v>65.61999999999999</v>
      </c>
      <c r="BA31" s="42"/>
      <c r="BB31" s="76">
        <f t="shared" si="64"/>
        <v>0.49930325727225211</v>
      </c>
      <c r="BC31" s="76">
        <f t="shared" si="64"/>
        <v>0.49939117199391164</v>
      </c>
    </row>
    <row r="32" spans="2:55" x14ac:dyDescent="0.25">
      <c r="B32" s="25" t="s">
        <v>27</v>
      </c>
      <c r="C32" s="149">
        <f>ROUND('ST Standard from 4 Jun26'!C32+'ST Inc Cruise from 4 Jun26'!$B$98,2)</f>
        <v>63.11</v>
      </c>
      <c r="D32" s="149">
        <f>ROUND('ST Standard from 4 Jun26'!D32+'ST Inc Cruise from 4 Jun26'!$B$98,2)</f>
        <v>70.94</v>
      </c>
      <c r="E32" s="41"/>
      <c r="F32" s="41">
        <f t="shared" si="51"/>
        <v>75.731999999999999</v>
      </c>
      <c r="G32" s="41">
        <f t="shared" si="51"/>
        <v>85.128</v>
      </c>
      <c r="H32" s="82"/>
      <c r="I32" s="41">
        <f t="shared" si="52"/>
        <v>12.622</v>
      </c>
      <c r="J32" s="41">
        <f t="shared" si="52"/>
        <v>14.188000000000002</v>
      </c>
      <c r="K32" s="82"/>
      <c r="L32" s="41">
        <f t="shared" si="53"/>
        <v>83.303000000000011</v>
      </c>
      <c r="M32" s="41">
        <f t="shared" si="53"/>
        <v>93.643000000000001</v>
      </c>
      <c r="N32" s="82"/>
      <c r="O32" s="41">
        <f t="shared" si="54"/>
        <v>20.193000000000012</v>
      </c>
      <c r="P32" s="41">
        <f t="shared" si="54"/>
        <v>22.703000000000003</v>
      </c>
      <c r="Q32" s="82"/>
      <c r="R32" s="76">
        <f t="shared" si="55"/>
        <v>9.9957745734960121E-2</v>
      </c>
      <c r="S32" s="76">
        <f t="shared" si="55"/>
        <v>9.996710835447796E-2</v>
      </c>
      <c r="T32" s="82"/>
      <c r="U32" s="41">
        <f t="shared" si="56"/>
        <v>126.22</v>
      </c>
      <c r="V32" s="41">
        <f t="shared" si="56"/>
        <v>141.88</v>
      </c>
      <c r="W32" s="82"/>
      <c r="X32" s="41">
        <f t="shared" si="57"/>
        <v>151.46</v>
      </c>
      <c r="Y32" s="41">
        <f t="shared" si="57"/>
        <v>170.26</v>
      </c>
      <c r="AA32" s="182">
        <f t="shared" si="65"/>
        <v>151.4</v>
      </c>
      <c r="AB32" s="182">
        <f t="shared" si="65"/>
        <v>170.2</v>
      </c>
      <c r="AD32" s="40">
        <f t="shared" si="58"/>
        <v>126.16666666666667</v>
      </c>
      <c r="AE32" s="40">
        <f t="shared" si="58"/>
        <v>141.83333333333334</v>
      </c>
      <c r="AG32" s="40">
        <f t="shared" si="66"/>
        <v>6.0000000000002274E-2</v>
      </c>
      <c r="AH32" s="40">
        <f t="shared" si="66"/>
        <v>6.0000000000002274E-2</v>
      </c>
      <c r="AJ32" s="40">
        <f t="shared" si="59"/>
        <v>7.57</v>
      </c>
      <c r="AK32" s="40">
        <f t="shared" si="59"/>
        <v>8.51</v>
      </c>
      <c r="AL32" s="40"/>
      <c r="AM32" s="180">
        <f t="shared" si="67"/>
        <v>50.427999999999997</v>
      </c>
      <c r="AN32" s="180">
        <f t="shared" si="67"/>
        <v>56.691999999999993</v>
      </c>
      <c r="AP32" s="76">
        <f t="shared" si="60"/>
        <v>0.1</v>
      </c>
      <c r="AQ32" s="76">
        <f t="shared" si="60"/>
        <v>0.10000000000000002</v>
      </c>
      <c r="AS32" s="76">
        <f t="shared" si="61"/>
        <v>0.39952463951830136</v>
      </c>
      <c r="AT32" s="76">
        <f t="shared" si="61"/>
        <v>0.39957710741471664</v>
      </c>
      <c r="AV32" s="76">
        <f t="shared" si="62"/>
        <v>0.5</v>
      </c>
      <c r="AW32" s="76">
        <f t="shared" si="62"/>
        <v>0.5</v>
      </c>
      <c r="AX32" s="42"/>
      <c r="AY32" s="42">
        <f t="shared" si="63"/>
        <v>63.05</v>
      </c>
      <c r="AZ32" s="42">
        <f t="shared" si="63"/>
        <v>70.88</v>
      </c>
      <c r="BA32" s="42"/>
      <c r="BB32" s="76">
        <f t="shared" si="64"/>
        <v>0.49952463951830134</v>
      </c>
      <c r="BC32" s="76">
        <f t="shared" si="64"/>
        <v>0.49957710741471667</v>
      </c>
    </row>
    <row r="33" spans="1:55" x14ac:dyDescent="0.25">
      <c r="B33" s="25" t="s">
        <v>29</v>
      </c>
      <c r="C33" s="149">
        <f>ROUND('ST Standard from 4 Jun26'!C33,2)</f>
        <v>10</v>
      </c>
      <c r="D33" s="149">
        <f>ROUND('ST Standard from 4 Jun26'!D33,2)</f>
        <v>10.82</v>
      </c>
      <c r="E33" s="41"/>
      <c r="F33" s="41">
        <f t="shared" si="51"/>
        <v>12</v>
      </c>
      <c r="G33" s="41">
        <f t="shared" si="51"/>
        <v>12.984</v>
      </c>
      <c r="H33" s="82"/>
      <c r="I33" s="41">
        <f t="shared" si="52"/>
        <v>2</v>
      </c>
      <c r="J33" s="41">
        <f t="shared" si="52"/>
        <v>2.1639999999999997</v>
      </c>
      <c r="K33" s="82"/>
      <c r="L33" s="41">
        <f t="shared" si="53"/>
        <v>13.200000000000001</v>
      </c>
      <c r="M33" s="41">
        <f t="shared" si="53"/>
        <v>14.278000000000002</v>
      </c>
      <c r="N33" s="82"/>
      <c r="O33" s="41">
        <f>L33-C33</f>
        <v>3.2000000000000011</v>
      </c>
      <c r="P33" s="41">
        <f>M33-D33</f>
        <v>3.458000000000002</v>
      </c>
      <c r="Q33" s="82"/>
      <c r="R33" s="76">
        <f t="shared" si="55"/>
        <v>9.9999999999999992E-2</v>
      </c>
      <c r="S33" s="76">
        <f t="shared" si="55"/>
        <v>0.10012322858903266</v>
      </c>
      <c r="T33" s="82"/>
      <c r="U33" s="41">
        <f t="shared" si="56"/>
        <v>20</v>
      </c>
      <c r="V33" s="41">
        <f t="shared" si="56"/>
        <v>21.64</v>
      </c>
      <c r="W33" s="82"/>
      <c r="X33" s="41">
        <f t="shared" si="57"/>
        <v>24</v>
      </c>
      <c r="Y33" s="41">
        <f t="shared" si="57"/>
        <v>25.97</v>
      </c>
      <c r="AA33" s="182">
        <f>ROUNDDOWN(C33/(1-$X$1)*1.2,1)</f>
        <v>24</v>
      </c>
      <c r="AB33" s="182">
        <f>ROUNDDOWN(D33/(1-$X$1)*1.2,1)</f>
        <v>25.9</v>
      </c>
      <c r="AD33" s="40">
        <f t="shared" si="58"/>
        <v>20</v>
      </c>
      <c r="AE33" s="40">
        <f t="shared" si="58"/>
        <v>21.583333333333332</v>
      </c>
      <c r="AG33" s="40">
        <f t="shared" si="66"/>
        <v>0</v>
      </c>
      <c r="AH33" s="40">
        <f t="shared" si="66"/>
        <v>7.0000000000000284E-2</v>
      </c>
      <c r="AJ33" s="40">
        <f t="shared" si="59"/>
        <v>1.2</v>
      </c>
      <c r="AK33" s="40">
        <f t="shared" si="59"/>
        <v>1.3</v>
      </c>
      <c r="AL33" s="40"/>
      <c r="AM33" s="180">
        <f t="shared" si="67"/>
        <v>8</v>
      </c>
      <c r="AN33" s="180">
        <f t="shared" si="67"/>
        <v>8.5860000000000003</v>
      </c>
      <c r="AP33" s="76">
        <f t="shared" si="60"/>
        <v>0.1</v>
      </c>
      <c r="AQ33" s="76">
        <f t="shared" si="60"/>
        <v>9.9999999999999978E-2</v>
      </c>
      <c r="AS33" s="76">
        <f t="shared" si="61"/>
        <v>0.4</v>
      </c>
      <c r="AT33" s="76">
        <f t="shared" si="61"/>
        <v>0.39676524953789277</v>
      </c>
      <c r="AV33" s="76">
        <f t="shared" si="62"/>
        <v>0.5</v>
      </c>
      <c r="AW33" s="76">
        <f t="shared" si="62"/>
        <v>0.5</v>
      </c>
      <c r="AX33" s="42"/>
      <c r="AY33" s="42">
        <f t="shared" si="63"/>
        <v>10</v>
      </c>
      <c r="AZ33" s="42">
        <f t="shared" si="63"/>
        <v>10.75</v>
      </c>
      <c r="BA33" s="42"/>
      <c r="BB33" s="76">
        <f t="shared" si="64"/>
        <v>0.5</v>
      </c>
      <c r="BC33" s="76">
        <f t="shared" si="64"/>
        <v>0.49676524953789281</v>
      </c>
    </row>
    <row r="34" spans="1:55" x14ac:dyDescent="0.25">
      <c r="C34" s="39"/>
      <c r="D34" s="39"/>
      <c r="E34" s="39"/>
      <c r="F34" s="39"/>
      <c r="L34" s="41"/>
      <c r="M34" s="39"/>
      <c r="U34" s="41"/>
      <c r="V34" s="41"/>
      <c r="W34" s="39"/>
      <c r="AK34" s="76"/>
      <c r="AL34" s="76"/>
      <c r="AM34" s="76"/>
    </row>
    <row r="35" spans="1:55" x14ac:dyDescent="0.25">
      <c r="A35" s="4" t="s">
        <v>34</v>
      </c>
      <c r="C35" s="40"/>
      <c r="D35" s="40"/>
      <c r="E35" s="40"/>
      <c r="F35" s="40"/>
      <c r="L35" s="40"/>
      <c r="M35" s="40"/>
      <c r="AK35" s="76"/>
      <c r="AL35" s="76"/>
      <c r="AM35" s="76"/>
    </row>
    <row r="36" spans="1:55" x14ac:dyDescent="0.25">
      <c r="C36" s="40"/>
      <c r="D36" s="40"/>
      <c r="E36" s="40"/>
      <c r="F36" s="40"/>
      <c r="M36" s="40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K36" s="76"/>
      <c r="AL36" s="76"/>
      <c r="AM36" s="76"/>
    </row>
    <row r="37" spans="1:55" x14ac:dyDescent="0.25">
      <c r="B37" s="200" t="s">
        <v>175</v>
      </c>
      <c r="C37" s="203" t="s">
        <v>196</v>
      </c>
      <c r="D37" s="172" t="s">
        <v>191</v>
      </c>
      <c r="E37" s="40"/>
      <c r="F37" s="40"/>
      <c r="M37" s="40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K37" s="76"/>
      <c r="AL37" s="76"/>
      <c r="AM37" s="76"/>
    </row>
    <row r="38" spans="1:55" x14ac:dyDescent="0.25">
      <c r="B38" s="1" t="s">
        <v>176</v>
      </c>
      <c r="C38" s="25" t="s">
        <v>197</v>
      </c>
      <c r="D38" s="199">
        <v>1</v>
      </c>
      <c r="E38" s="40"/>
      <c r="F38" s="40"/>
      <c r="M38" s="40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K38" s="76"/>
      <c r="AL38" s="76"/>
      <c r="AM38" s="76"/>
    </row>
    <row r="39" spans="1:55" x14ac:dyDescent="0.25">
      <c r="B39" s="1" t="s">
        <v>194</v>
      </c>
      <c r="C39" s="25" t="s">
        <v>195</v>
      </c>
      <c r="D39" s="199">
        <v>1.1499999999999999</v>
      </c>
      <c r="E39" s="40"/>
      <c r="F39" s="40"/>
      <c r="M39" s="40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K39" s="76"/>
      <c r="AL39" s="76"/>
      <c r="AM39" s="76"/>
    </row>
    <row r="40" spans="1:55" x14ac:dyDescent="0.25">
      <c r="B40" s="1" t="s">
        <v>177</v>
      </c>
      <c r="C40" s="25" t="s">
        <v>192</v>
      </c>
      <c r="D40" s="199">
        <v>1.3</v>
      </c>
      <c r="E40" s="40"/>
      <c r="F40" s="40"/>
      <c r="M40" s="40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K40" s="76"/>
      <c r="AL40" s="76"/>
      <c r="AM40" s="76"/>
    </row>
    <row r="41" spans="1:55" x14ac:dyDescent="0.25">
      <c r="B41" s="1" t="s">
        <v>178</v>
      </c>
      <c r="C41" s="25" t="s">
        <v>192</v>
      </c>
      <c r="D41" s="199">
        <v>1.3</v>
      </c>
      <c r="E41" s="40"/>
      <c r="F41" s="40"/>
      <c r="M41" s="40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K41" s="76"/>
      <c r="AL41" s="76"/>
      <c r="AM41" s="76"/>
    </row>
    <row r="42" spans="1:55" x14ac:dyDescent="0.25">
      <c r="B42" s="1" t="s">
        <v>179</v>
      </c>
      <c r="C42" s="25" t="s">
        <v>193</v>
      </c>
      <c r="D42" s="199">
        <v>1.35</v>
      </c>
      <c r="E42" s="40"/>
      <c r="F42" s="40"/>
      <c r="M42" s="40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K42" s="76"/>
      <c r="AL42" s="76"/>
      <c r="AM42" s="76"/>
    </row>
    <row r="43" spans="1:55" x14ac:dyDescent="0.25">
      <c r="B43" s="1" t="s">
        <v>180</v>
      </c>
      <c r="C43" s="25" t="s">
        <v>193</v>
      </c>
      <c r="D43" s="199">
        <v>1.35</v>
      </c>
      <c r="E43" s="40"/>
      <c r="F43" s="40"/>
      <c r="M43" s="40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K43" s="76"/>
      <c r="AL43" s="76"/>
      <c r="AM43" s="76"/>
    </row>
    <row r="44" spans="1:55" x14ac:dyDescent="0.25">
      <c r="B44" s="1" t="s">
        <v>181</v>
      </c>
      <c r="C44" s="25" t="s">
        <v>193</v>
      </c>
      <c r="D44" s="199">
        <v>1.35</v>
      </c>
      <c r="E44" s="40"/>
      <c r="F44" s="40"/>
      <c r="M44" s="40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K44" s="76"/>
      <c r="AL44" s="76"/>
      <c r="AM44" s="76"/>
    </row>
    <row r="45" spans="1:55" x14ac:dyDescent="0.25">
      <c r="B45" s="1" t="s">
        <v>182</v>
      </c>
      <c r="C45" s="25" t="s">
        <v>193</v>
      </c>
      <c r="D45" s="199">
        <v>1.35</v>
      </c>
      <c r="E45" s="40"/>
      <c r="F45" s="40"/>
      <c r="M45" s="40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K45" s="76"/>
      <c r="AL45" s="76"/>
      <c r="AM45" s="76"/>
    </row>
    <row r="46" spans="1:55" x14ac:dyDescent="0.25">
      <c r="B46" s="1" t="s">
        <v>183</v>
      </c>
      <c r="C46" s="25" t="s">
        <v>193</v>
      </c>
      <c r="D46" s="199">
        <v>1.35</v>
      </c>
      <c r="E46" s="40"/>
      <c r="F46" s="40"/>
      <c r="M46" s="40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K46" s="76"/>
      <c r="AL46" s="76"/>
      <c r="AM46" s="76"/>
    </row>
    <row r="47" spans="1:55" x14ac:dyDescent="0.25">
      <c r="B47" s="1" t="s">
        <v>184</v>
      </c>
      <c r="C47" s="25" t="s">
        <v>193</v>
      </c>
      <c r="D47" s="199">
        <v>1.35</v>
      </c>
      <c r="E47" s="40"/>
      <c r="F47" s="40"/>
      <c r="M47" s="40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K47" s="76"/>
      <c r="AL47" s="76"/>
      <c r="AM47" s="76"/>
    </row>
    <row r="48" spans="1:55" x14ac:dyDescent="0.25">
      <c r="B48" s="1" t="s">
        <v>185</v>
      </c>
      <c r="C48" s="25" t="s">
        <v>193</v>
      </c>
      <c r="D48" s="199">
        <v>1.35</v>
      </c>
      <c r="E48" s="40"/>
      <c r="F48" s="40"/>
      <c r="M48" s="40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K48" s="76"/>
      <c r="AL48" s="76"/>
      <c r="AM48" s="76"/>
    </row>
    <row r="49" spans="1:39" x14ac:dyDescent="0.25">
      <c r="B49" s="1" t="s">
        <v>186</v>
      </c>
      <c r="C49" s="25" t="s">
        <v>193</v>
      </c>
      <c r="D49" s="199">
        <v>1.35</v>
      </c>
      <c r="E49" s="40"/>
      <c r="F49" s="40"/>
      <c r="M49" s="40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K49" s="76"/>
      <c r="AL49" s="76"/>
      <c r="AM49" s="76"/>
    </row>
    <row r="50" spans="1:39" x14ac:dyDescent="0.25">
      <c r="B50" s="1" t="s">
        <v>187</v>
      </c>
      <c r="C50" s="25" t="s">
        <v>193</v>
      </c>
      <c r="D50" s="199">
        <v>1.35</v>
      </c>
      <c r="E50" s="40"/>
      <c r="F50" s="40"/>
      <c r="M50" s="40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K50" s="76"/>
      <c r="AL50" s="76"/>
      <c r="AM50" s="76"/>
    </row>
    <row r="51" spans="1:39" x14ac:dyDescent="0.25">
      <c r="B51" s="1" t="s">
        <v>188</v>
      </c>
      <c r="C51" s="25" t="s">
        <v>193</v>
      </c>
      <c r="D51" s="199">
        <v>1.35</v>
      </c>
      <c r="E51" s="40"/>
      <c r="F51" s="40"/>
      <c r="M51" s="40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K51" s="76"/>
      <c r="AL51" s="76"/>
      <c r="AM51" s="76"/>
    </row>
    <row r="52" spans="1:39" x14ac:dyDescent="0.25">
      <c r="B52" s="1" t="s">
        <v>189</v>
      </c>
      <c r="C52" s="25" t="s">
        <v>193</v>
      </c>
      <c r="D52" s="199">
        <v>1.35</v>
      </c>
      <c r="E52" s="40"/>
      <c r="F52" s="40"/>
      <c r="M52" s="40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K52" s="76"/>
      <c r="AL52" s="76"/>
      <c r="AM52" s="76"/>
    </row>
    <row r="53" spans="1:39" x14ac:dyDescent="0.25">
      <c r="B53" s="1" t="s">
        <v>190</v>
      </c>
      <c r="C53" s="25" t="s">
        <v>193</v>
      </c>
      <c r="D53" s="199">
        <v>1.35</v>
      </c>
      <c r="E53" s="40"/>
      <c r="F53" s="40"/>
      <c r="M53" s="40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K53" s="76"/>
      <c r="AL53" s="76"/>
      <c r="AM53" s="76"/>
    </row>
    <row r="54" spans="1:39" x14ac:dyDescent="0.25">
      <c r="C54" s="40"/>
      <c r="D54" s="40"/>
      <c r="E54" s="40"/>
      <c r="F54" s="40"/>
      <c r="M54" s="40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K54" s="76"/>
      <c r="AL54" s="76"/>
      <c r="AM54" s="76"/>
    </row>
    <row r="55" spans="1:39" x14ac:dyDescent="0.25">
      <c r="A55" s="25" t="s">
        <v>35</v>
      </c>
      <c r="B55" s="1" t="s">
        <v>36</v>
      </c>
      <c r="D55" s="40"/>
      <c r="E55" s="40"/>
      <c r="F55" s="40"/>
      <c r="G55" s="40"/>
      <c r="H55" s="40"/>
      <c r="I55" s="40"/>
      <c r="J55" s="40"/>
      <c r="K55" s="40"/>
      <c r="N55" s="40"/>
      <c r="O55" s="40"/>
      <c r="P55" s="40"/>
      <c r="Q55" s="40"/>
      <c r="R55" s="40"/>
      <c r="S55" s="40"/>
      <c r="T55" s="40"/>
      <c r="AK55" s="76"/>
      <c r="AL55" s="76"/>
      <c r="AM55" s="76"/>
    </row>
    <row r="56" spans="1:39" x14ac:dyDescent="0.25">
      <c r="A56" s="25" t="s">
        <v>37</v>
      </c>
      <c r="B56" s="1" t="s">
        <v>38</v>
      </c>
      <c r="D56" s="40"/>
      <c r="E56" s="40"/>
      <c r="F56" s="40"/>
      <c r="N56" s="40"/>
      <c r="O56" s="40"/>
      <c r="P56" s="40"/>
      <c r="Q56" s="40"/>
      <c r="R56" s="40"/>
      <c r="S56" s="40"/>
      <c r="T56" s="40"/>
      <c r="AK56" s="76"/>
      <c r="AL56" s="76"/>
      <c r="AM56" s="76"/>
    </row>
    <row r="57" spans="1:39" x14ac:dyDescent="0.25">
      <c r="A57" s="25" t="s">
        <v>39</v>
      </c>
      <c r="B57" s="1" t="s">
        <v>40</v>
      </c>
      <c r="D57" s="40"/>
      <c r="E57" s="40"/>
      <c r="F57" s="40"/>
      <c r="AK57" s="76"/>
      <c r="AL57" s="76"/>
      <c r="AM57" s="76"/>
    </row>
    <row r="58" spans="1:39" x14ac:dyDescent="0.25">
      <c r="A58" s="25" t="s">
        <v>41</v>
      </c>
      <c r="B58" s="1" t="s">
        <v>42</v>
      </c>
      <c r="D58" s="40"/>
      <c r="E58" s="40"/>
      <c r="F58" s="40"/>
      <c r="AK58" s="76"/>
      <c r="AL58" s="76"/>
      <c r="AM58" s="76"/>
    </row>
    <row r="59" spans="1:39" x14ac:dyDescent="0.25">
      <c r="A59" s="25" t="s">
        <v>43</v>
      </c>
      <c r="B59" s="1" t="s">
        <v>44</v>
      </c>
      <c r="D59" s="40"/>
      <c r="E59" s="40"/>
      <c r="F59" s="40"/>
      <c r="AK59" s="76"/>
      <c r="AL59" s="76"/>
      <c r="AM59" s="76"/>
    </row>
    <row r="60" spans="1:39" x14ac:dyDescent="0.25">
      <c r="A60" s="25" t="s">
        <v>45</v>
      </c>
      <c r="B60" s="1" t="s">
        <v>46</v>
      </c>
      <c r="D60" s="40"/>
      <c r="E60" s="40"/>
      <c r="F60" s="40"/>
      <c r="AK60" s="76"/>
      <c r="AL60" s="76"/>
      <c r="AM60" s="76"/>
    </row>
    <row r="61" spans="1:39" x14ac:dyDescent="0.25">
      <c r="A61" s="25"/>
      <c r="AK61" s="76"/>
      <c r="AL61" s="76"/>
      <c r="AM61" s="76"/>
    </row>
    <row r="62" spans="1:39" x14ac:dyDescent="0.25">
      <c r="A62" s="118" t="s">
        <v>47</v>
      </c>
      <c r="B62" s="1" t="s">
        <v>48</v>
      </c>
      <c r="G62" s="40"/>
      <c r="H62" s="40"/>
      <c r="I62" s="40"/>
      <c r="J62" s="40"/>
      <c r="K62" s="40"/>
      <c r="N62" s="40"/>
      <c r="O62" s="40"/>
      <c r="P62" s="40"/>
      <c r="Q62" s="40"/>
      <c r="R62" s="40"/>
      <c r="S62" s="40"/>
      <c r="T62" s="40"/>
      <c r="AK62" s="76"/>
      <c r="AL62" s="76"/>
      <c r="AM62" s="76"/>
    </row>
    <row r="63" spans="1:39" x14ac:dyDescent="0.25">
      <c r="A63" s="118" t="s">
        <v>49</v>
      </c>
      <c r="B63" s="52" t="s">
        <v>50</v>
      </c>
      <c r="AK63" s="76"/>
      <c r="AL63" s="76"/>
      <c r="AM63" s="76"/>
    </row>
    <row r="64" spans="1:39" x14ac:dyDescent="0.25">
      <c r="A64" s="25"/>
      <c r="AK64" s="76"/>
      <c r="AL64" s="76"/>
      <c r="AM64" s="76"/>
    </row>
    <row r="65" spans="1:66" x14ac:dyDescent="0.25">
      <c r="A65" s="164" t="s">
        <v>51</v>
      </c>
      <c r="B65" s="165" t="s">
        <v>52</v>
      </c>
      <c r="C65" s="166"/>
      <c r="D65" s="166"/>
      <c r="E65" s="166"/>
      <c r="F65" s="166"/>
      <c r="G65" s="166"/>
      <c r="H65" s="166"/>
      <c r="AK65" s="76"/>
      <c r="AL65" s="76"/>
      <c r="AM65" s="76"/>
    </row>
    <row r="66" spans="1:66" ht="47.25" customHeight="1" x14ac:dyDescent="0.25">
      <c r="A66" s="198" t="s">
        <v>53</v>
      </c>
      <c r="B66" s="216" t="s">
        <v>54</v>
      </c>
      <c r="C66" s="216"/>
      <c r="D66" s="216"/>
      <c r="E66" s="216"/>
      <c r="F66" s="216"/>
      <c r="G66" s="216"/>
      <c r="H66" s="216"/>
      <c r="I66" s="216"/>
      <c r="J66" s="216"/>
      <c r="K66" s="216"/>
      <c r="L66" s="216"/>
      <c r="M66" s="216"/>
      <c r="AK66" s="76"/>
      <c r="AL66" s="76"/>
      <c r="AM66" s="76"/>
    </row>
    <row r="67" spans="1:66" x14ac:dyDescent="0.25">
      <c r="A67" s="25"/>
    </row>
    <row r="68" spans="1:66" x14ac:dyDescent="0.25">
      <c r="A68" s="25" t="s">
        <v>55</v>
      </c>
      <c r="B68" s="1" t="s">
        <v>56</v>
      </c>
    </row>
    <row r="69" spans="1:66" x14ac:dyDescent="0.25">
      <c r="A69" s="25"/>
      <c r="B69" s="1" t="s">
        <v>57</v>
      </c>
    </row>
    <row r="70" spans="1:66" x14ac:dyDescent="0.25">
      <c r="A70" s="25"/>
      <c r="B70" s="1" t="s">
        <v>58</v>
      </c>
    </row>
    <row r="71" spans="1:66" x14ac:dyDescent="0.25">
      <c r="A71" s="25"/>
    </row>
    <row r="72" spans="1:66" s="80" customFormat="1" x14ac:dyDescent="0.25">
      <c r="A72" s="79" t="s">
        <v>59</v>
      </c>
      <c r="B72" s="80" t="s">
        <v>60</v>
      </c>
    </row>
    <row r="73" spans="1:66" x14ac:dyDescent="0.25">
      <c r="A73" s="25"/>
    </row>
    <row r="74" spans="1:66" x14ac:dyDescent="0.25">
      <c r="A74" s="25" t="s">
        <v>61</v>
      </c>
      <c r="B74" s="1" t="s">
        <v>62</v>
      </c>
    </row>
    <row r="75" spans="1:66" x14ac:dyDescent="0.25">
      <c r="A75" s="25"/>
    </row>
    <row r="76" spans="1:66" ht="45" customHeight="1" x14ac:dyDescent="0.25">
      <c r="B76" s="39"/>
      <c r="C76" s="217" t="s">
        <v>2</v>
      </c>
      <c r="D76" s="217"/>
      <c r="E76" s="90"/>
      <c r="F76" s="218" t="s">
        <v>3</v>
      </c>
      <c r="G76" s="218"/>
      <c r="H76" s="52"/>
      <c r="I76" s="212" t="s">
        <v>4</v>
      </c>
      <c r="J76" s="212"/>
      <c r="K76" s="52"/>
      <c r="L76" s="219" t="s">
        <v>5</v>
      </c>
      <c r="M76" s="219"/>
      <c r="N76" s="52"/>
      <c r="O76" s="219" t="s">
        <v>6</v>
      </c>
      <c r="P76" s="219"/>
      <c r="Q76" s="52"/>
      <c r="R76" s="219" t="s">
        <v>7</v>
      </c>
      <c r="S76" s="219"/>
      <c r="T76" s="52"/>
      <c r="U76" s="214" t="s">
        <v>8</v>
      </c>
      <c r="V76" s="214"/>
      <c r="W76" s="52"/>
      <c r="X76" s="211" t="s">
        <v>9</v>
      </c>
      <c r="Y76" s="211"/>
      <c r="AA76" s="215" t="s">
        <v>10</v>
      </c>
      <c r="AB76" s="215"/>
      <c r="AD76" s="211" t="s">
        <v>11</v>
      </c>
      <c r="AE76" s="211"/>
      <c r="AG76" s="211" t="s">
        <v>12</v>
      </c>
      <c r="AH76" s="211"/>
      <c r="AJ76" s="211" t="s">
        <v>13</v>
      </c>
      <c r="AK76" s="211"/>
      <c r="AM76" s="211" t="s">
        <v>14</v>
      </c>
      <c r="AN76" s="211"/>
      <c r="AP76" s="212" t="s">
        <v>15</v>
      </c>
      <c r="AQ76" s="212"/>
      <c r="AS76" s="211" t="s">
        <v>16</v>
      </c>
      <c r="AT76" s="211"/>
      <c r="AV76" s="213" t="s">
        <v>17</v>
      </c>
      <c r="AW76" s="213"/>
      <c r="AY76" s="213" t="s">
        <v>18</v>
      </c>
      <c r="AZ76" s="213"/>
      <c r="BB76" s="213" t="s">
        <v>19</v>
      </c>
      <c r="BC76" s="213"/>
    </row>
    <row r="77" spans="1:66" s="34" customFormat="1" x14ac:dyDescent="0.25">
      <c r="C77" s="54" t="s">
        <v>20</v>
      </c>
      <c r="D77" s="54" t="s">
        <v>21</v>
      </c>
      <c r="E77" s="54"/>
      <c r="F77" s="34" t="s">
        <v>20</v>
      </c>
      <c r="G77" s="54" t="s">
        <v>21</v>
      </c>
      <c r="I77" s="34" t="s">
        <v>20</v>
      </c>
      <c r="J77" s="54" t="s">
        <v>21</v>
      </c>
      <c r="L77" s="34" t="s">
        <v>20</v>
      </c>
      <c r="M77" s="54" t="s">
        <v>21</v>
      </c>
      <c r="O77" s="34" t="s">
        <v>20</v>
      </c>
      <c r="P77" s="54" t="s">
        <v>21</v>
      </c>
      <c r="R77" s="34" t="s">
        <v>20</v>
      </c>
      <c r="S77" s="54" t="s">
        <v>21</v>
      </c>
      <c r="U77" s="34" t="s">
        <v>20</v>
      </c>
      <c r="V77" s="34" t="s">
        <v>21</v>
      </c>
      <c r="X77" s="34" t="s">
        <v>20</v>
      </c>
      <c r="Y77" s="34" t="s">
        <v>21</v>
      </c>
      <c r="AA77" s="34" t="s">
        <v>20</v>
      </c>
      <c r="AB77" s="34" t="s">
        <v>21</v>
      </c>
      <c r="AD77" s="34" t="s">
        <v>20</v>
      </c>
      <c r="AE77" s="34" t="s">
        <v>21</v>
      </c>
      <c r="AG77" s="34" t="s">
        <v>20</v>
      </c>
      <c r="AH77" s="34" t="s">
        <v>21</v>
      </c>
      <c r="AJ77" s="34" t="s">
        <v>20</v>
      </c>
      <c r="AK77" s="34" t="s">
        <v>21</v>
      </c>
      <c r="AM77" s="34" t="s">
        <v>20</v>
      </c>
      <c r="AN77" s="34" t="s">
        <v>21</v>
      </c>
      <c r="AP77" s="34" t="s">
        <v>20</v>
      </c>
      <c r="AQ77" s="34" t="s">
        <v>21</v>
      </c>
      <c r="AS77" s="34" t="s">
        <v>20</v>
      </c>
      <c r="AT77" s="34" t="s">
        <v>21</v>
      </c>
      <c r="AV77" s="34" t="s">
        <v>20</v>
      </c>
      <c r="AW77" s="54" t="s">
        <v>21</v>
      </c>
      <c r="AY77" s="34" t="s">
        <v>20</v>
      </c>
      <c r="AZ77" s="54" t="s">
        <v>21</v>
      </c>
      <c r="BB77" s="34" t="s">
        <v>20</v>
      </c>
      <c r="BC77" s="54" t="s">
        <v>21</v>
      </c>
    </row>
    <row r="78" spans="1:66" x14ac:dyDescent="0.25">
      <c r="A78" s="25"/>
      <c r="C78" s="39"/>
      <c r="D78" s="39"/>
      <c r="E78" s="39"/>
      <c r="F78" s="39"/>
      <c r="G78" s="39"/>
      <c r="H78" s="39"/>
      <c r="I78" s="39"/>
      <c r="J78" s="39"/>
      <c r="K78" s="39"/>
      <c r="L78" s="39"/>
    </row>
    <row r="79" spans="1:66" s="52" customFormat="1" ht="60" customHeight="1" x14ac:dyDescent="0.25">
      <c r="A79" s="158" t="s">
        <v>63</v>
      </c>
      <c r="B79" s="157"/>
      <c r="C79" s="168">
        <f>'ST Standard from 1 Apr25'!C61</f>
        <v>13.86</v>
      </c>
      <c r="D79" s="168">
        <f>'ST Standard from 1 Apr25'!D61</f>
        <v>13.86</v>
      </c>
      <c r="E79" s="74"/>
      <c r="F79" s="74">
        <f t="shared" ref="F79:G79" si="68">C79*SUM(1+$G$1/$X$1)</f>
        <v>16.631999999999998</v>
      </c>
      <c r="G79" s="74">
        <f t="shared" si="68"/>
        <v>16.631999999999998</v>
      </c>
      <c r="H79" s="74"/>
      <c r="I79" s="74">
        <f t="shared" ref="I79:J79" si="69">F79-C79</f>
        <v>2.7719999999999985</v>
      </c>
      <c r="J79" s="74">
        <f t="shared" si="69"/>
        <v>2.7719999999999985</v>
      </c>
      <c r="K79" s="51"/>
      <c r="L79" s="160">
        <f t="shared" ref="L79:M79" si="70">ROUND(C79*(1+$G$1*2),2)*SUM(1+$M$1)</f>
        <v>18.292999999999999</v>
      </c>
      <c r="M79" s="160">
        <f t="shared" si="70"/>
        <v>18.292999999999999</v>
      </c>
      <c r="O79" s="74">
        <f t="shared" ref="O79:P79" si="71">L79-C79</f>
        <v>4.4329999999999998</v>
      </c>
      <c r="P79" s="74">
        <f t="shared" si="71"/>
        <v>4.4329999999999998</v>
      </c>
      <c r="R79" s="93">
        <f t="shared" ref="R79:S79" si="72">AJ79/F79</f>
        <v>9.9807599807599817E-2</v>
      </c>
      <c r="S79" s="93">
        <f t="shared" si="72"/>
        <v>9.9807599807599817E-2</v>
      </c>
      <c r="U79" s="74">
        <f t="shared" ref="U79:V79" si="73">SUM(C79/(1-$X$1))</f>
        <v>27.72</v>
      </c>
      <c r="V79" s="74">
        <f t="shared" si="73"/>
        <v>27.72</v>
      </c>
      <c r="X79" s="74">
        <f t="shared" ref="X79:Y79" si="74">ROUND(C79/(1-$X$1)*1.2,2)</f>
        <v>33.26</v>
      </c>
      <c r="Y79" s="74">
        <f t="shared" si="74"/>
        <v>33.26</v>
      </c>
      <c r="Z79" s="94"/>
      <c r="AA79" s="183">
        <f t="shared" ref="AA79:AB79" si="75">ROUNDDOWN(C79/(1-$X$1)*1.2,1)</f>
        <v>33.200000000000003</v>
      </c>
      <c r="AB79" s="183">
        <f t="shared" si="75"/>
        <v>33.200000000000003</v>
      </c>
      <c r="AD79" s="94">
        <f t="shared" ref="AD79:AE79" si="76">AA79/1.2</f>
        <v>27.666666666666671</v>
      </c>
      <c r="AE79" s="94">
        <f t="shared" si="76"/>
        <v>27.666666666666671</v>
      </c>
      <c r="AG79" s="94">
        <f t="shared" ref="AG79:AH79" si="77">X79-AA79</f>
        <v>5.9999999999995168E-2</v>
      </c>
      <c r="AH79" s="94">
        <f t="shared" si="77"/>
        <v>5.9999999999995168E-2</v>
      </c>
      <c r="AI79" s="94"/>
      <c r="AJ79" s="94">
        <f t="shared" ref="AJ79:AK79" si="78">ROUND(L79*(1-(1/(1+$AL$1))),2)</f>
        <v>1.66</v>
      </c>
      <c r="AK79" s="94">
        <f t="shared" si="78"/>
        <v>1.66</v>
      </c>
      <c r="AL79" s="94"/>
      <c r="AM79" s="181">
        <f t="shared" ref="AM79:AN79" si="79">SUM(U79-F79)-AG79</f>
        <v>11.028000000000006</v>
      </c>
      <c r="AN79" s="181">
        <f t="shared" si="79"/>
        <v>11.028000000000006</v>
      </c>
      <c r="AP79" s="135">
        <f t="shared" ref="AP79:AQ79" si="80">(SUM(F79-C79)/C79)/2</f>
        <v>9.999999999999995E-2</v>
      </c>
      <c r="AQ79" s="135">
        <f t="shared" si="80"/>
        <v>9.999999999999995E-2</v>
      </c>
      <c r="AS79" s="135">
        <f t="shared" ref="AS79:AT79" si="81">AM79/U79</f>
        <v>0.39783549783549804</v>
      </c>
      <c r="AT79" s="135">
        <f t="shared" si="81"/>
        <v>0.39783549783549804</v>
      </c>
      <c r="AV79" s="93">
        <f t="shared" ref="AV79:AW79" si="82">C79/U79</f>
        <v>0.5</v>
      </c>
      <c r="AW79" s="93">
        <f t="shared" si="82"/>
        <v>0.5</v>
      </c>
      <c r="AY79" s="136">
        <f t="shared" ref="AY79:AZ79" si="83">I79+AM79</f>
        <v>13.800000000000004</v>
      </c>
      <c r="AZ79" s="136">
        <f t="shared" si="83"/>
        <v>13.800000000000004</v>
      </c>
      <c r="BB79" s="93">
        <f t="shared" ref="BB79:BC79" si="84">AY79/(C79/$X$1)</f>
        <v>0.49783549783549802</v>
      </c>
      <c r="BC79" s="93">
        <f t="shared" si="84"/>
        <v>0.49783549783549802</v>
      </c>
      <c r="BK79" s="125" t="e">
        <f>SUM(U79-L79)-#REF!</f>
        <v>#REF!</v>
      </c>
      <c r="BN79" s="124" t="e">
        <f>BK79/U79</f>
        <v>#REF!</v>
      </c>
    </row>
    <row r="80" spans="1:66" x14ac:dyDescent="0.25">
      <c r="C80" s="39"/>
      <c r="D80" s="39"/>
      <c r="E80" s="39"/>
      <c r="F80" s="39"/>
      <c r="G80" s="39"/>
      <c r="H80" s="39"/>
      <c r="I80" s="39"/>
      <c r="J80" s="39"/>
      <c r="K80" s="39"/>
      <c r="L80" s="39"/>
      <c r="BN80" s="76"/>
    </row>
    <row r="81" spans="1:13" x14ac:dyDescent="0.25">
      <c r="A81" s="48" t="s">
        <v>64</v>
      </c>
      <c r="B81" s="44" t="s">
        <v>65</v>
      </c>
      <c r="C81" s="45" t="s">
        <v>66</v>
      </c>
    </row>
    <row r="82" spans="1:13" ht="29.25" customHeight="1" x14ac:dyDescent="0.25">
      <c r="A82" s="49"/>
      <c r="B82" s="209" t="s">
        <v>67</v>
      </c>
      <c r="C82" s="210" t="s">
        <v>68</v>
      </c>
      <c r="D82" s="210"/>
      <c r="E82" s="210"/>
      <c r="F82" s="210"/>
      <c r="G82" s="210"/>
      <c r="H82" s="210"/>
      <c r="I82" s="210"/>
      <c r="J82" s="210"/>
      <c r="K82" s="210"/>
      <c r="L82" s="210"/>
      <c r="M82" s="210"/>
    </row>
    <row r="83" spans="1:13" ht="29.25" customHeight="1" x14ac:dyDescent="0.25">
      <c r="A83" s="49"/>
      <c r="B83" s="209"/>
      <c r="C83" s="210"/>
      <c r="D83" s="210"/>
      <c r="E83" s="210"/>
      <c r="F83" s="210"/>
      <c r="G83" s="210"/>
      <c r="H83" s="210"/>
      <c r="I83" s="210"/>
      <c r="J83" s="210"/>
      <c r="K83" s="210"/>
      <c r="L83" s="210"/>
      <c r="M83" s="210"/>
    </row>
    <row r="84" spans="1:13" x14ac:dyDescent="0.25">
      <c r="A84" s="25"/>
      <c r="B84" s="44" t="s">
        <v>69</v>
      </c>
      <c r="C84" s="45" t="s">
        <v>70</v>
      </c>
    </row>
    <row r="85" spans="1:13" x14ac:dyDescent="0.25">
      <c r="A85" s="25"/>
      <c r="B85" s="44" t="s">
        <v>71</v>
      </c>
      <c r="C85" s="45" t="s">
        <v>72</v>
      </c>
    </row>
    <row r="86" spans="1:13" x14ac:dyDescent="0.25">
      <c r="A86" s="25"/>
      <c r="B86" s="44"/>
      <c r="C86" s="45"/>
    </row>
    <row r="87" spans="1:13" x14ac:dyDescent="0.25">
      <c r="A87" s="25" t="s">
        <v>73</v>
      </c>
      <c r="B87" s="1" t="s">
        <v>74</v>
      </c>
      <c r="C87" s="46" t="s">
        <v>75</v>
      </c>
      <c r="L87" s="47"/>
    </row>
    <row r="88" spans="1:13" x14ac:dyDescent="0.25">
      <c r="A88" s="25"/>
      <c r="B88" s="1" t="s">
        <v>76</v>
      </c>
      <c r="C88" s="47" t="s">
        <v>77</v>
      </c>
      <c r="L88" s="47"/>
    </row>
    <row r="89" spans="1:13" x14ac:dyDescent="0.25">
      <c r="A89" s="25"/>
      <c r="B89" s="1" t="s">
        <v>78</v>
      </c>
      <c r="C89" s="47" t="s">
        <v>79</v>
      </c>
      <c r="L89" s="47"/>
    </row>
    <row r="90" spans="1:13" x14ac:dyDescent="0.25">
      <c r="A90" s="25"/>
      <c r="B90" s="1" t="s">
        <v>80</v>
      </c>
      <c r="C90" s="47" t="s">
        <v>81</v>
      </c>
      <c r="L90" s="47"/>
    </row>
    <row r="91" spans="1:13" x14ac:dyDescent="0.25">
      <c r="A91" s="25"/>
    </row>
    <row r="92" spans="1:13" x14ac:dyDescent="0.25">
      <c r="A92" s="46" t="s">
        <v>82</v>
      </c>
      <c r="B92" s="1" t="s">
        <v>83</v>
      </c>
    </row>
    <row r="94" spans="1:13" x14ac:dyDescent="0.25">
      <c r="A94" s="119" t="s">
        <v>84</v>
      </c>
    </row>
    <row r="95" spans="1:13" x14ac:dyDescent="0.25">
      <c r="B95" s="47"/>
    </row>
    <row r="96" spans="1:13" x14ac:dyDescent="0.25">
      <c r="B96" s="47"/>
    </row>
    <row r="97" spans="1:13" x14ac:dyDescent="0.25">
      <c r="A97" s="166" t="s">
        <v>85</v>
      </c>
      <c r="B97" s="40">
        <v>1.04</v>
      </c>
      <c r="C97" s="192" t="s">
        <v>86</v>
      </c>
      <c r="M97" s="40"/>
    </row>
    <row r="98" spans="1:13" x14ac:dyDescent="0.25">
      <c r="A98" s="166"/>
      <c r="B98" s="40">
        <v>2.09</v>
      </c>
      <c r="C98" s="192" t="s">
        <v>87</v>
      </c>
      <c r="M98" s="40"/>
    </row>
    <row r="99" spans="1:13" x14ac:dyDescent="0.25">
      <c r="B99" s="40"/>
    </row>
  </sheetData>
  <mergeCells count="40">
    <mergeCell ref="AM1:AN1"/>
    <mergeCell ref="C2:D2"/>
    <mergeCell ref="F2:G2"/>
    <mergeCell ref="I2:J2"/>
    <mergeCell ref="L2:M2"/>
    <mergeCell ref="O2:P2"/>
    <mergeCell ref="R2:S2"/>
    <mergeCell ref="U2:V2"/>
    <mergeCell ref="X2:Y2"/>
    <mergeCell ref="AA2:AB2"/>
    <mergeCell ref="AV2:AW2"/>
    <mergeCell ref="AY2:AZ2"/>
    <mergeCell ref="BB2:BC2"/>
    <mergeCell ref="B66:M66"/>
    <mergeCell ref="C76:D76"/>
    <mergeCell ref="F76:G76"/>
    <mergeCell ref="I76:J76"/>
    <mergeCell ref="L76:M76"/>
    <mergeCell ref="O76:P76"/>
    <mergeCell ref="R76:S76"/>
    <mergeCell ref="AD2:AE2"/>
    <mergeCell ref="AG2:AH2"/>
    <mergeCell ref="AJ2:AK2"/>
    <mergeCell ref="AM2:AN2"/>
    <mergeCell ref="AP2:AQ2"/>
    <mergeCell ref="AS2:AT2"/>
    <mergeCell ref="AV76:AW76"/>
    <mergeCell ref="AY76:AZ76"/>
    <mergeCell ref="BB76:BC76"/>
    <mergeCell ref="U76:V76"/>
    <mergeCell ref="X76:Y76"/>
    <mergeCell ref="AA76:AB76"/>
    <mergeCell ref="AD76:AE76"/>
    <mergeCell ref="AG76:AH76"/>
    <mergeCell ref="AJ76:AK76"/>
    <mergeCell ref="B82:B83"/>
    <mergeCell ref="C82:M83"/>
    <mergeCell ref="AM76:AN76"/>
    <mergeCell ref="AP76:AQ76"/>
    <mergeCell ref="AS76:AT76"/>
  </mergeCells>
  <pageMargins left="0.7" right="0.7" top="0.75" bottom="0.75" header="0.3" footer="0.3"/>
  <pageSetup orientation="portrait" horizontalDpi="4294967295" verticalDpi="4294967295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B0DCF-F927-4AD9-81CE-778D6D2726FD}">
  <dimension ref="A1:BN81"/>
  <sheetViews>
    <sheetView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14" sqref="D14"/>
    </sheetView>
  </sheetViews>
  <sheetFormatPr defaultColWidth="8.85546875" defaultRowHeight="15" x14ac:dyDescent="0.25"/>
  <cols>
    <col min="1" max="1" width="50.7109375" style="1" customWidth="1"/>
    <col min="2" max="2" width="11.5703125" style="1" customWidth="1"/>
    <col min="3" max="4" width="7.7109375" style="1" customWidth="1"/>
    <col min="5" max="5" width="3.5703125" style="1" customWidth="1"/>
    <col min="6" max="7" width="7.7109375" style="1" customWidth="1"/>
    <col min="8" max="8" width="4" style="1" customWidth="1"/>
    <col min="9" max="10" width="6.7109375" style="1" customWidth="1"/>
    <col min="11" max="11" width="4" style="1" customWidth="1"/>
    <col min="12" max="13" width="7.7109375" style="1" customWidth="1"/>
    <col min="14" max="14" width="5.5703125" style="1" customWidth="1"/>
    <col min="15" max="16" width="7.7109375" style="1" customWidth="1"/>
    <col min="17" max="17" width="5.5703125" style="1" customWidth="1"/>
    <col min="18" max="18" width="6.5703125" style="1" bestFit="1" customWidth="1"/>
    <col min="19" max="19" width="7.85546875" style="1" bestFit="1" customWidth="1"/>
    <col min="20" max="20" width="5.5703125" style="1" customWidth="1"/>
    <col min="21" max="22" width="12.5703125" style="1" customWidth="1"/>
    <col min="23" max="23" width="3" style="1" customWidth="1"/>
    <col min="24" max="25" width="10.7109375" style="1" customWidth="1"/>
    <col min="26" max="26" width="5.7109375" style="1" bestFit="1" customWidth="1"/>
    <col min="27" max="28" width="8.140625" style="1" bestFit="1" customWidth="1"/>
    <col min="29" max="29" width="5.7109375" style="1" customWidth="1"/>
    <col min="30" max="31" width="9.7109375" style="1" customWidth="1"/>
    <col min="32" max="32" width="5.7109375" style="1" customWidth="1"/>
    <col min="33" max="34" width="6.7109375" style="1" bestFit="1" customWidth="1"/>
    <col min="35" max="35" width="5.7109375" style="1" customWidth="1"/>
    <col min="36" max="36" width="7.140625" style="1" bestFit="1" customWidth="1"/>
    <col min="37" max="37" width="6.140625" style="1" bestFit="1" customWidth="1"/>
    <col min="38" max="38" width="7.7109375" style="1" bestFit="1" customWidth="1"/>
    <col min="39" max="40" width="8" style="1" bestFit="1" customWidth="1"/>
    <col min="41" max="41" width="3.28515625" style="1" customWidth="1"/>
    <col min="42" max="42" width="5.140625" style="1" bestFit="1" customWidth="1"/>
    <col min="43" max="43" width="6.140625" style="1" bestFit="1" customWidth="1"/>
    <col min="44" max="44" width="5.140625" style="1" customWidth="1"/>
    <col min="45" max="46" width="6.5703125" style="1" bestFit="1" customWidth="1"/>
    <col min="47" max="47" width="5.140625" style="1" customWidth="1"/>
    <col min="48" max="48" width="8.85546875" style="1" customWidth="1"/>
    <col min="49" max="49" width="8" style="1" customWidth="1"/>
    <col min="50" max="50" width="5.42578125" style="1" customWidth="1"/>
    <col min="51" max="52" width="6.7109375" style="1" customWidth="1"/>
    <col min="53" max="53" width="5.42578125" style="1" customWidth="1"/>
    <col min="54" max="55" width="8" style="1" customWidth="1"/>
    <col min="56" max="56" width="6.140625" style="1" customWidth="1"/>
    <col min="57" max="58" width="8" style="1" bestFit="1" customWidth="1"/>
    <col min="59" max="62" width="6.140625" style="1" customWidth="1"/>
    <col min="63" max="64" width="8" style="1" customWidth="1"/>
    <col min="65" max="65" width="1.42578125" style="1" customWidth="1"/>
    <col min="66" max="67" width="8.7109375" style="1" customWidth="1"/>
    <col min="68" max="68" width="8.85546875" style="1" customWidth="1"/>
    <col min="69" max="16384" width="8.85546875" style="1"/>
  </cols>
  <sheetData>
    <row r="1" spans="1:61" ht="15" customHeight="1" thickBot="1" x14ac:dyDescent="0.3">
      <c r="A1" s="184" t="s">
        <v>174</v>
      </c>
      <c r="C1" s="171" t="s">
        <v>0</v>
      </c>
      <c r="D1" s="163">
        <v>0.03</v>
      </c>
      <c r="E1" s="38"/>
      <c r="F1" s="38"/>
      <c r="G1" s="193">
        <v>0.1</v>
      </c>
      <c r="H1" s="170" t="s">
        <v>1</v>
      </c>
      <c r="M1" s="91">
        <v>0.1</v>
      </c>
      <c r="X1" s="91">
        <v>0.5</v>
      </c>
      <c r="AL1" s="91">
        <v>0.1</v>
      </c>
      <c r="AM1" s="220"/>
      <c r="AN1" s="220"/>
    </row>
    <row r="2" spans="1:61" ht="45" customHeight="1" x14ac:dyDescent="0.25">
      <c r="B2" s="39"/>
      <c r="C2" s="217" t="s">
        <v>2</v>
      </c>
      <c r="D2" s="217"/>
      <c r="E2" s="90"/>
      <c r="F2" s="218" t="s">
        <v>3</v>
      </c>
      <c r="G2" s="218"/>
      <c r="H2" s="52"/>
      <c r="I2" s="212" t="s">
        <v>4</v>
      </c>
      <c r="J2" s="212"/>
      <c r="K2" s="52"/>
      <c r="L2" s="219" t="s">
        <v>5</v>
      </c>
      <c r="M2" s="219"/>
      <c r="N2" s="52"/>
      <c r="O2" s="219" t="s">
        <v>6</v>
      </c>
      <c r="P2" s="219"/>
      <c r="Q2" s="52"/>
      <c r="R2" s="219" t="s">
        <v>7</v>
      </c>
      <c r="S2" s="219"/>
      <c r="T2" s="52"/>
      <c r="U2" s="214" t="s">
        <v>8</v>
      </c>
      <c r="V2" s="214"/>
      <c r="W2" s="52"/>
      <c r="X2" s="211" t="s">
        <v>9</v>
      </c>
      <c r="Y2" s="211"/>
      <c r="AA2" s="215" t="s">
        <v>10</v>
      </c>
      <c r="AB2" s="215"/>
      <c r="AD2" s="211" t="s">
        <v>11</v>
      </c>
      <c r="AE2" s="211"/>
      <c r="AG2" s="211" t="s">
        <v>12</v>
      </c>
      <c r="AH2" s="211"/>
      <c r="AJ2" s="211" t="s">
        <v>13</v>
      </c>
      <c r="AK2" s="211"/>
      <c r="AM2" s="211" t="s">
        <v>14</v>
      </c>
      <c r="AN2" s="211"/>
      <c r="AP2" s="212" t="s">
        <v>15</v>
      </c>
      <c r="AQ2" s="212"/>
      <c r="AS2" s="219" t="s">
        <v>16</v>
      </c>
      <c r="AT2" s="219"/>
      <c r="AV2" s="213" t="s">
        <v>17</v>
      </c>
      <c r="AW2" s="213"/>
      <c r="AY2" s="213" t="s">
        <v>18</v>
      </c>
      <c r="AZ2" s="213"/>
      <c r="BB2" s="213" t="s">
        <v>19</v>
      </c>
      <c r="BC2" s="213"/>
    </row>
    <row r="3" spans="1:61" s="34" customFormat="1" x14ac:dyDescent="0.25">
      <c r="C3" s="54" t="s">
        <v>20</v>
      </c>
      <c r="D3" s="54" t="s">
        <v>21</v>
      </c>
      <c r="E3" s="54"/>
      <c r="F3" s="34" t="s">
        <v>20</v>
      </c>
      <c r="G3" s="54" t="s">
        <v>21</v>
      </c>
      <c r="I3" s="34" t="s">
        <v>20</v>
      </c>
      <c r="J3" s="54" t="s">
        <v>21</v>
      </c>
      <c r="L3" s="34" t="s">
        <v>20</v>
      </c>
      <c r="M3" s="54" t="s">
        <v>21</v>
      </c>
      <c r="O3" s="34" t="s">
        <v>20</v>
      </c>
      <c r="P3" s="54" t="s">
        <v>21</v>
      </c>
      <c r="R3" s="34" t="s">
        <v>20</v>
      </c>
      <c r="S3" s="54" t="s">
        <v>21</v>
      </c>
      <c r="U3" s="34" t="s">
        <v>20</v>
      </c>
      <c r="V3" s="34" t="s">
        <v>21</v>
      </c>
      <c r="X3" s="34" t="s">
        <v>20</v>
      </c>
      <c r="Y3" s="34" t="s">
        <v>21</v>
      </c>
      <c r="AA3" s="34" t="s">
        <v>20</v>
      </c>
      <c r="AB3" s="34" t="s">
        <v>21</v>
      </c>
      <c r="AD3" s="34" t="s">
        <v>20</v>
      </c>
      <c r="AE3" s="34" t="s">
        <v>21</v>
      </c>
      <c r="AG3" s="34" t="s">
        <v>20</v>
      </c>
      <c r="AH3" s="34" t="s">
        <v>21</v>
      </c>
      <c r="AJ3" s="34" t="s">
        <v>20</v>
      </c>
      <c r="AK3" s="34" t="s">
        <v>21</v>
      </c>
      <c r="AM3" s="34" t="s">
        <v>20</v>
      </c>
      <c r="AN3" s="34" t="s">
        <v>21</v>
      </c>
      <c r="AP3" s="34" t="s">
        <v>20</v>
      </c>
      <c r="AQ3" s="34" t="s">
        <v>21</v>
      </c>
      <c r="AS3" s="34" t="s">
        <v>20</v>
      </c>
      <c r="AT3" s="34" t="s">
        <v>21</v>
      </c>
      <c r="AV3" s="34" t="s">
        <v>20</v>
      </c>
      <c r="AW3" s="54" t="s">
        <v>21</v>
      </c>
      <c r="AY3" s="34" t="s">
        <v>20</v>
      </c>
      <c r="AZ3" s="54" t="s">
        <v>21</v>
      </c>
      <c r="BB3" s="34" t="s">
        <v>20</v>
      </c>
      <c r="BC3" s="54" t="s">
        <v>21</v>
      </c>
    </row>
    <row r="4" spans="1:61" x14ac:dyDescent="0.25">
      <c r="B4" s="32" t="s">
        <v>22</v>
      </c>
      <c r="C4" s="40"/>
      <c r="D4" s="40"/>
      <c r="E4" s="40"/>
      <c r="F4" s="40"/>
      <c r="L4" s="39"/>
      <c r="M4" s="41"/>
      <c r="AA4" s="39"/>
      <c r="AB4" s="39"/>
    </row>
    <row r="5" spans="1:61" x14ac:dyDescent="0.25">
      <c r="B5" s="25" t="s">
        <v>23</v>
      </c>
      <c r="C5" s="149">
        <f>ROUND('ST Standard from 24 Feb 26'!C5+$B$79,2)</f>
        <v>10.51</v>
      </c>
      <c r="D5" s="149">
        <f>ROUND('ST Standard from 24 Feb 26'!D5+$B$79,2)</f>
        <v>15.51</v>
      </c>
      <c r="E5" s="41"/>
      <c r="F5" s="41">
        <f t="shared" ref="F5:G9" si="0">C5*SUM(1+$G$1/$X$1)</f>
        <v>12.612</v>
      </c>
      <c r="G5" s="41">
        <f t="shared" si="0"/>
        <v>18.611999999999998</v>
      </c>
      <c r="H5" s="82"/>
      <c r="I5" s="41">
        <f>F5-C5</f>
        <v>2.1020000000000003</v>
      </c>
      <c r="J5" s="41">
        <f>G5-D5</f>
        <v>3.1019999999999985</v>
      </c>
      <c r="K5" s="82"/>
      <c r="L5" s="41">
        <f>ROUND(C5*(1+$G$1*2),2)*SUM(1+$M$1)</f>
        <v>13.871</v>
      </c>
      <c r="M5" s="41">
        <f t="shared" ref="L5:M9" si="1">ROUND(D5*(1+$G$1*2),2)*SUM(1+$M$1)</f>
        <v>20.471</v>
      </c>
      <c r="N5" s="82"/>
      <c r="O5" s="41">
        <f>L5-C5</f>
        <v>3.3610000000000007</v>
      </c>
      <c r="P5" s="41">
        <f>M5-D5</f>
        <v>4.9610000000000003</v>
      </c>
      <c r="Q5" s="82"/>
      <c r="R5" s="76">
        <f t="shared" ref="R5:S9" si="2">AJ5/F5</f>
        <v>9.9904852521408183E-2</v>
      </c>
      <c r="S5" s="76">
        <f t="shared" si="2"/>
        <v>9.9935525467440375E-2</v>
      </c>
      <c r="T5" s="82"/>
      <c r="U5" s="41">
        <f t="shared" ref="U5:V9" si="3">SUM(C5/(1-$X$1))</f>
        <v>21.02</v>
      </c>
      <c r="V5" s="41">
        <f t="shared" si="3"/>
        <v>31.02</v>
      </c>
      <c r="W5" s="82"/>
      <c r="X5" s="41">
        <f>ROUND(C5/(1-$X$1)*1.2,2)</f>
        <v>25.22</v>
      </c>
      <c r="Y5" s="41">
        <f>ROUND(D5/(1-$X$1)*1.2,2)</f>
        <v>37.22</v>
      </c>
      <c r="AA5" s="182">
        <f>ROUNDDOWN(C5/(1-$X$1)*1.2,1)</f>
        <v>25.2</v>
      </c>
      <c r="AB5" s="182">
        <f>ROUNDDOWN(D5/(1-$X$1)*1.2,1)</f>
        <v>37.200000000000003</v>
      </c>
      <c r="AD5" s="40">
        <f>AA5/1.2</f>
        <v>21</v>
      </c>
      <c r="AE5" s="40">
        <f>AB5/1.2</f>
        <v>31.000000000000004</v>
      </c>
      <c r="AG5" s="40">
        <f>X5-AA5</f>
        <v>1.9999999999999574E-2</v>
      </c>
      <c r="AH5" s="40">
        <f>Y5-AB5</f>
        <v>1.9999999999996021E-2</v>
      </c>
      <c r="AJ5" s="40">
        <f t="shared" ref="AJ5:AK9" si="4">ROUND(L5*(1-(1/(1+$AL$1))),2)</f>
        <v>1.26</v>
      </c>
      <c r="AK5" s="40">
        <f t="shared" si="4"/>
        <v>1.86</v>
      </c>
      <c r="AL5" s="40"/>
      <c r="AM5" s="180">
        <f>SUM(U5-F5)-AG5</f>
        <v>8.3879999999999999</v>
      </c>
      <c r="AN5" s="180">
        <f>SUM(V5-G5)-AH5</f>
        <v>12.388000000000005</v>
      </c>
      <c r="AP5" s="76">
        <f t="shared" ref="AP5:AQ9" si="5">(SUM(F5-C5)/C5)*$X$1</f>
        <v>0.10000000000000002</v>
      </c>
      <c r="AQ5" s="76">
        <f t="shared" si="5"/>
        <v>9.999999999999995E-2</v>
      </c>
      <c r="AS5" s="76">
        <f t="shared" ref="AS5:AT9" si="6">AM5/U5</f>
        <v>0.39904852521408185</v>
      </c>
      <c r="AT5" s="76">
        <f t="shared" si="6"/>
        <v>0.3993552546744038</v>
      </c>
      <c r="AU5" s="40"/>
      <c r="AV5" s="76">
        <f t="shared" ref="AV5:AW9" si="7">C5/U5</f>
        <v>0.5</v>
      </c>
      <c r="AW5" s="76">
        <f t="shared" si="7"/>
        <v>0.5</v>
      </c>
      <c r="AX5" s="42"/>
      <c r="AY5" s="42">
        <f t="shared" ref="AY5:AZ9" si="8">I5+AM5</f>
        <v>10.49</v>
      </c>
      <c r="AZ5" s="42">
        <f t="shared" si="8"/>
        <v>15.490000000000004</v>
      </c>
      <c r="BA5" s="42"/>
      <c r="BB5" s="76">
        <f t="shared" ref="BB5:BC9" si="9">AY5/(C5/$X$1)</f>
        <v>0.49904852521408183</v>
      </c>
      <c r="BC5" s="76">
        <f t="shared" si="9"/>
        <v>0.49935525467440373</v>
      </c>
      <c r="BE5" s="40"/>
      <c r="BF5" s="40"/>
      <c r="BG5" s="40"/>
      <c r="BH5" s="40"/>
      <c r="BI5" s="76"/>
    </row>
    <row r="6" spans="1:61" x14ac:dyDescent="0.25">
      <c r="B6" s="25" t="s">
        <v>24</v>
      </c>
      <c r="C6" s="149">
        <f>ROUND('ST Standard from 24 Feb 26'!C6+$B$79,2)</f>
        <v>10.98</v>
      </c>
      <c r="D6" s="149">
        <f>ROUND('ST Standard from 24 Feb 26'!D6+$B$79,2)</f>
        <v>16.239999999999998</v>
      </c>
      <c r="E6" s="41"/>
      <c r="F6" s="41">
        <f t="shared" si="0"/>
        <v>13.176</v>
      </c>
      <c r="G6" s="41">
        <f t="shared" si="0"/>
        <v>19.487999999999996</v>
      </c>
      <c r="H6" s="82"/>
      <c r="I6" s="41">
        <f t="shared" ref="I6:J9" si="10">F6-C6</f>
        <v>2.1959999999999997</v>
      </c>
      <c r="J6" s="41">
        <f t="shared" si="10"/>
        <v>3.2479999999999976</v>
      </c>
      <c r="K6" s="82"/>
      <c r="L6" s="41">
        <f t="shared" si="1"/>
        <v>14.498000000000001</v>
      </c>
      <c r="M6" s="41">
        <f t="shared" si="1"/>
        <v>21.439</v>
      </c>
      <c r="N6" s="82"/>
      <c r="O6" s="41">
        <f t="shared" ref="O6:P9" si="11">L6-C6</f>
        <v>3.5180000000000007</v>
      </c>
      <c r="P6" s="41">
        <f t="shared" si="11"/>
        <v>5.1990000000000016</v>
      </c>
      <c r="Q6" s="82"/>
      <c r="R6" s="76">
        <f t="shared" si="2"/>
        <v>0.10018214936247724</v>
      </c>
      <c r="S6" s="76">
        <f t="shared" si="2"/>
        <v>0.10006157635467983</v>
      </c>
      <c r="T6" s="82"/>
      <c r="U6" s="41">
        <f t="shared" si="3"/>
        <v>21.96</v>
      </c>
      <c r="V6" s="41">
        <f t="shared" si="3"/>
        <v>32.479999999999997</v>
      </c>
      <c r="W6" s="82"/>
      <c r="X6" s="41">
        <f t="shared" ref="X6:Y9" si="12">ROUND(C6/(1-$X$1)*1.2,2)</f>
        <v>26.35</v>
      </c>
      <c r="Y6" s="41">
        <f t="shared" si="12"/>
        <v>38.979999999999997</v>
      </c>
      <c r="AA6" s="182">
        <f t="shared" ref="AA6:AB9" si="13">ROUNDDOWN(C6/(1-$X$1)*1.2,1)</f>
        <v>26.3</v>
      </c>
      <c r="AB6" s="182">
        <f t="shared" si="13"/>
        <v>38.9</v>
      </c>
      <c r="AD6" s="40">
        <f t="shared" ref="AD6:AE9" si="14">AA6/1.2</f>
        <v>21.916666666666668</v>
      </c>
      <c r="AE6" s="40">
        <f t="shared" si="14"/>
        <v>32.416666666666664</v>
      </c>
      <c r="AG6" s="40">
        <f t="shared" ref="AG6:AH9" si="15">X6-AA6</f>
        <v>5.0000000000000711E-2</v>
      </c>
      <c r="AH6" s="40">
        <f t="shared" si="15"/>
        <v>7.9999999999998295E-2</v>
      </c>
      <c r="AJ6" s="40">
        <f t="shared" si="4"/>
        <v>1.32</v>
      </c>
      <c r="AK6" s="40">
        <f t="shared" si="4"/>
        <v>1.95</v>
      </c>
      <c r="AL6" s="40"/>
      <c r="AM6" s="180">
        <f t="shared" ref="AM6:AM9" si="16">SUM(U6-F6)-AG6</f>
        <v>8.734</v>
      </c>
      <c r="AN6" s="180">
        <f t="shared" ref="AN6:AN9" si="17">SUM(V6-G6)-AH6</f>
        <v>12.912000000000003</v>
      </c>
      <c r="AP6" s="76">
        <f t="shared" si="5"/>
        <v>9.9999999999999978E-2</v>
      </c>
      <c r="AQ6" s="76">
        <f t="shared" si="5"/>
        <v>9.9999999999999936E-2</v>
      </c>
      <c r="AS6" s="76">
        <f t="shared" si="6"/>
        <v>0.39772313296903461</v>
      </c>
      <c r="AT6" s="76">
        <f t="shared" si="6"/>
        <v>0.39753694581280802</v>
      </c>
      <c r="AV6" s="76">
        <f t="shared" si="7"/>
        <v>0.5</v>
      </c>
      <c r="AW6" s="76">
        <f t="shared" si="7"/>
        <v>0.5</v>
      </c>
      <c r="AX6" s="42"/>
      <c r="AY6" s="42">
        <f t="shared" si="8"/>
        <v>10.93</v>
      </c>
      <c r="AZ6" s="42">
        <f t="shared" si="8"/>
        <v>16.16</v>
      </c>
      <c r="BA6" s="42"/>
      <c r="BB6" s="76">
        <f t="shared" si="9"/>
        <v>0.49772313296903459</v>
      </c>
      <c r="BC6" s="76">
        <f t="shared" si="9"/>
        <v>0.49753694581280794</v>
      </c>
    </row>
    <row r="7" spans="1:61" x14ac:dyDescent="0.25">
      <c r="B7" s="25" t="s">
        <v>25</v>
      </c>
      <c r="C7" s="149">
        <f>ROUND('ST Standard from 24 Feb 26'!C7+$B$79,2)</f>
        <v>12.01</v>
      </c>
      <c r="D7" s="149">
        <f>ROUND('ST Standard from 24 Feb 26'!D7+$B$79,2)</f>
        <v>17.829999999999998</v>
      </c>
      <c r="E7" s="41"/>
      <c r="F7" s="41">
        <f t="shared" si="0"/>
        <v>14.411999999999999</v>
      </c>
      <c r="G7" s="41">
        <f t="shared" si="0"/>
        <v>21.395999999999997</v>
      </c>
      <c r="H7" s="82"/>
      <c r="I7" s="41">
        <f t="shared" si="10"/>
        <v>2.4019999999999992</v>
      </c>
      <c r="J7" s="41">
        <f t="shared" si="10"/>
        <v>3.5659999999999989</v>
      </c>
      <c r="K7" s="82"/>
      <c r="L7" s="41">
        <f>ROUND(C7*(1+$G$1*2),2)*SUM(1+$M$1)</f>
        <v>15.851000000000001</v>
      </c>
      <c r="M7" s="41">
        <f t="shared" si="1"/>
        <v>23.54</v>
      </c>
      <c r="N7" s="82"/>
      <c r="O7" s="41">
        <f t="shared" si="11"/>
        <v>3.8410000000000011</v>
      </c>
      <c r="P7" s="41">
        <f t="shared" si="11"/>
        <v>5.7100000000000009</v>
      </c>
      <c r="Q7" s="82"/>
      <c r="R7" s="76">
        <f t="shared" si="2"/>
        <v>9.9916736053288935E-2</v>
      </c>
      <c r="S7" s="76">
        <f t="shared" si="2"/>
        <v>0.10001869508319314</v>
      </c>
      <c r="T7" s="82"/>
      <c r="U7" s="41">
        <f t="shared" si="3"/>
        <v>24.02</v>
      </c>
      <c r="V7" s="41">
        <f t="shared" si="3"/>
        <v>35.659999999999997</v>
      </c>
      <c r="W7" s="82"/>
      <c r="X7" s="41">
        <f t="shared" si="12"/>
        <v>28.82</v>
      </c>
      <c r="Y7" s="41">
        <f t="shared" si="12"/>
        <v>42.79</v>
      </c>
      <c r="AA7" s="182">
        <f t="shared" si="13"/>
        <v>28.8</v>
      </c>
      <c r="AB7" s="182">
        <f t="shared" si="13"/>
        <v>42.7</v>
      </c>
      <c r="AD7" s="40">
        <f t="shared" si="14"/>
        <v>24</v>
      </c>
      <c r="AE7" s="40">
        <f t="shared" si="14"/>
        <v>35.583333333333336</v>
      </c>
      <c r="AG7" s="40">
        <f t="shared" si="15"/>
        <v>1.9999999999999574E-2</v>
      </c>
      <c r="AH7" s="40">
        <f t="shared" si="15"/>
        <v>8.9999999999996305E-2</v>
      </c>
      <c r="AJ7" s="40">
        <f>ROUND(L7*(1-(1/(1+$AL$1))),2)</f>
        <v>1.44</v>
      </c>
      <c r="AK7" s="40">
        <f t="shared" si="4"/>
        <v>2.14</v>
      </c>
      <c r="AL7" s="40"/>
      <c r="AM7" s="180">
        <f t="shared" si="16"/>
        <v>9.588000000000001</v>
      </c>
      <c r="AN7" s="180">
        <f t="shared" si="17"/>
        <v>14.174000000000003</v>
      </c>
      <c r="AP7" s="76">
        <f t="shared" si="5"/>
        <v>9.9999999999999964E-2</v>
      </c>
      <c r="AQ7" s="76">
        <f t="shared" si="5"/>
        <v>9.9999999999999978E-2</v>
      </c>
      <c r="AS7" s="76">
        <f t="shared" si="6"/>
        <v>0.39916736053288931</v>
      </c>
      <c r="AT7" s="76">
        <f t="shared" si="6"/>
        <v>0.39747616376892891</v>
      </c>
      <c r="AV7" s="76">
        <f t="shared" si="7"/>
        <v>0.5</v>
      </c>
      <c r="AW7" s="76">
        <f t="shared" si="7"/>
        <v>0.5</v>
      </c>
      <c r="AX7" s="42"/>
      <c r="AY7" s="42">
        <f t="shared" si="8"/>
        <v>11.99</v>
      </c>
      <c r="AZ7" s="42">
        <f t="shared" si="8"/>
        <v>17.740000000000002</v>
      </c>
      <c r="BA7" s="42"/>
      <c r="BB7" s="76">
        <f t="shared" si="9"/>
        <v>0.49916736053288929</v>
      </c>
      <c r="BC7" s="76">
        <f t="shared" si="9"/>
        <v>0.49747616376892889</v>
      </c>
    </row>
    <row r="8" spans="1:61" x14ac:dyDescent="0.25">
      <c r="B8" s="25" t="s">
        <v>26</v>
      </c>
      <c r="C8" s="149">
        <f>ROUND('ST Standard from 24 Feb 26'!C8+$B$79,2)</f>
        <v>13.14</v>
      </c>
      <c r="D8" s="149">
        <f>ROUND('ST Standard from 24 Feb 26'!D8+$B$79,2)</f>
        <v>19.53</v>
      </c>
      <c r="E8" s="41"/>
      <c r="F8" s="41">
        <f t="shared" si="0"/>
        <v>15.768000000000001</v>
      </c>
      <c r="G8" s="41">
        <f t="shared" si="0"/>
        <v>23.436</v>
      </c>
      <c r="H8" s="82"/>
      <c r="I8" s="41">
        <f t="shared" si="10"/>
        <v>2.6280000000000001</v>
      </c>
      <c r="J8" s="41">
        <f t="shared" si="10"/>
        <v>3.9059999999999988</v>
      </c>
      <c r="K8" s="82"/>
      <c r="L8" s="41">
        <f t="shared" si="1"/>
        <v>17.347000000000001</v>
      </c>
      <c r="M8" s="41">
        <f t="shared" si="1"/>
        <v>25.784000000000002</v>
      </c>
      <c r="N8" s="82"/>
      <c r="O8" s="41">
        <f t="shared" si="11"/>
        <v>4.2070000000000007</v>
      </c>
      <c r="P8" s="41">
        <f t="shared" si="11"/>
        <v>6.2540000000000013</v>
      </c>
      <c r="Q8" s="82"/>
      <c r="R8" s="76">
        <f t="shared" si="2"/>
        <v>0.10020294266869609</v>
      </c>
      <c r="S8" s="76">
        <f t="shared" si="2"/>
        <v>9.9846390168970803E-2</v>
      </c>
      <c r="T8" s="82"/>
      <c r="U8" s="41">
        <f t="shared" si="3"/>
        <v>26.28</v>
      </c>
      <c r="V8" s="41">
        <f t="shared" si="3"/>
        <v>39.06</v>
      </c>
      <c r="W8" s="82"/>
      <c r="X8" s="41">
        <f t="shared" si="12"/>
        <v>31.54</v>
      </c>
      <c r="Y8" s="41">
        <f t="shared" si="12"/>
        <v>46.87</v>
      </c>
      <c r="AA8" s="182">
        <f t="shared" si="13"/>
        <v>31.5</v>
      </c>
      <c r="AB8" s="182">
        <f t="shared" si="13"/>
        <v>46.8</v>
      </c>
      <c r="AD8" s="40">
        <f t="shared" si="14"/>
        <v>26.25</v>
      </c>
      <c r="AE8" s="40">
        <f t="shared" si="14"/>
        <v>39</v>
      </c>
      <c r="AG8" s="40">
        <f t="shared" si="15"/>
        <v>3.9999999999999147E-2</v>
      </c>
      <c r="AH8" s="40">
        <f t="shared" si="15"/>
        <v>7.0000000000000284E-2</v>
      </c>
      <c r="AJ8" s="40">
        <f t="shared" si="4"/>
        <v>1.58</v>
      </c>
      <c r="AK8" s="40">
        <f t="shared" si="4"/>
        <v>2.34</v>
      </c>
      <c r="AL8" s="40"/>
      <c r="AM8" s="180">
        <f t="shared" si="16"/>
        <v>10.472000000000001</v>
      </c>
      <c r="AN8" s="180">
        <f t="shared" si="17"/>
        <v>15.554000000000002</v>
      </c>
      <c r="AP8" s="76">
        <f t="shared" si="5"/>
        <v>0.1</v>
      </c>
      <c r="AQ8" s="76">
        <f t="shared" si="5"/>
        <v>9.9999999999999964E-2</v>
      </c>
      <c r="AS8" s="76">
        <f t="shared" si="6"/>
        <v>0.39847792998477932</v>
      </c>
      <c r="AT8" s="76">
        <f t="shared" si="6"/>
        <v>0.3982078853046595</v>
      </c>
      <c r="AV8" s="76">
        <f t="shared" si="7"/>
        <v>0.5</v>
      </c>
      <c r="AW8" s="76">
        <f t="shared" si="7"/>
        <v>0.5</v>
      </c>
      <c r="AX8" s="42"/>
      <c r="AY8" s="42">
        <f t="shared" si="8"/>
        <v>13.100000000000001</v>
      </c>
      <c r="AZ8" s="42">
        <f t="shared" si="8"/>
        <v>19.46</v>
      </c>
      <c r="BA8" s="42"/>
      <c r="BB8" s="76">
        <f t="shared" si="9"/>
        <v>0.49847792998477936</v>
      </c>
      <c r="BC8" s="76">
        <f t="shared" si="9"/>
        <v>0.49820788530465948</v>
      </c>
    </row>
    <row r="9" spans="1:61" x14ac:dyDescent="0.25">
      <c r="B9" s="25" t="s">
        <v>27</v>
      </c>
      <c r="C9" s="149">
        <f>ROUND('ST Standard from 24 Feb 26'!C9+$B$79,2)</f>
        <v>13.16</v>
      </c>
      <c r="D9" s="149">
        <f>ROUND('ST Standard from 24 Feb 26'!D9+$B$79,2)</f>
        <v>19.54</v>
      </c>
      <c r="E9" s="41"/>
      <c r="F9" s="41">
        <f t="shared" si="0"/>
        <v>15.792</v>
      </c>
      <c r="G9" s="41">
        <f t="shared" si="0"/>
        <v>23.447999999999997</v>
      </c>
      <c r="H9" s="82"/>
      <c r="I9" s="41">
        <f t="shared" si="10"/>
        <v>2.6319999999999997</v>
      </c>
      <c r="J9" s="41">
        <f t="shared" si="10"/>
        <v>3.9079999999999977</v>
      </c>
      <c r="K9" s="82"/>
      <c r="L9" s="41">
        <f t="shared" si="1"/>
        <v>17.369</v>
      </c>
      <c r="M9" s="41">
        <f t="shared" si="1"/>
        <v>25.795000000000002</v>
      </c>
      <c r="N9" s="82"/>
      <c r="O9" s="41">
        <f t="shared" si="11"/>
        <v>4.2089999999999996</v>
      </c>
      <c r="P9" s="41">
        <f t="shared" si="11"/>
        <v>6.2550000000000026</v>
      </c>
      <c r="Q9" s="82"/>
      <c r="R9" s="76">
        <f t="shared" si="2"/>
        <v>0.10005065856129687</v>
      </c>
      <c r="S9" s="76">
        <f t="shared" si="2"/>
        <v>0.1002217673149096</v>
      </c>
      <c r="T9" s="82"/>
      <c r="U9" s="41">
        <f t="shared" si="3"/>
        <v>26.32</v>
      </c>
      <c r="V9" s="41">
        <f t="shared" si="3"/>
        <v>39.08</v>
      </c>
      <c r="W9" s="82"/>
      <c r="X9" s="41">
        <f t="shared" si="12"/>
        <v>31.58</v>
      </c>
      <c r="Y9" s="41">
        <f t="shared" si="12"/>
        <v>46.9</v>
      </c>
      <c r="AA9" s="182">
        <f t="shared" si="13"/>
        <v>31.5</v>
      </c>
      <c r="AB9" s="182">
        <f t="shared" si="13"/>
        <v>46.8</v>
      </c>
      <c r="AD9" s="40">
        <f t="shared" si="14"/>
        <v>26.25</v>
      </c>
      <c r="AE9" s="40">
        <f t="shared" si="14"/>
        <v>39</v>
      </c>
      <c r="AG9" s="40">
        <f t="shared" si="15"/>
        <v>7.9999999999998295E-2</v>
      </c>
      <c r="AH9" s="40">
        <f t="shared" si="15"/>
        <v>0.10000000000000142</v>
      </c>
      <c r="AJ9" s="40">
        <f t="shared" si="4"/>
        <v>1.58</v>
      </c>
      <c r="AK9" s="40">
        <f t="shared" si="4"/>
        <v>2.35</v>
      </c>
      <c r="AL9" s="40"/>
      <c r="AM9" s="180">
        <f t="shared" si="16"/>
        <v>10.448000000000002</v>
      </c>
      <c r="AN9" s="180">
        <f t="shared" si="17"/>
        <v>15.532</v>
      </c>
      <c r="AP9" s="76">
        <f t="shared" si="5"/>
        <v>9.9999999999999992E-2</v>
      </c>
      <c r="AQ9" s="76">
        <f t="shared" si="5"/>
        <v>9.999999999999995E-2</v>
      </c>
      <c r="AS9" s="76">
        <f t="shared" si="6"/>
        <v>0.39696048632218855</v>
      </c>
      <c r="AT9" s="76">
        <f t="shared" si="6"/>
        <v>0.39744114636642786</v>
      </c>
      <c r="AV9" s="76">
        <f t="shared" si="7"/>
        <v>0.5</v>
      </c>
      <c r="AW9" s="76">
        <f t="shared" si="7"/>
        <v>0.5</v>
      </c>
      <c r="AX9" s="42"/>
      <c r="AY9" s="42">
        <f t="shared" si="8"/>
        <v>13.080000000000002</v>
      </c>
      <c r="AZ9" s="42">
        <f t="shared" si="8"/>
        <v>19.439999999999998</v>
      </c>
      <c r="BA9" s="42"/>
      <c r="BB9" s="76">
        <f t="shared" si="9"/>
        <v>0.49696048632218853</v>
      </c>
      <c r="BC9" s="76">
        <f t="shared" si="9"/>
        <v>0.49744114636642778</v>
      </c>
    </row>
    <row r="10" spans="1:61" x14ac:dyDescent="0.25">
      <c r="B10" s="25"/>
      <c r="C10" s="41"/>
      <c r="D10" s="41"/>
      <c r="E10" s="41"/>
      <c r="F10" s="41"/>
      <c r="G10" s="41"/>
      <c r="H10" s="4"/>
      <c r="I10" s="4"/>
      <c r="J10" s="4"/>
      <c r="K10" s="4"/>
      <c r="L10" s="41"/>
      <c r="M10" s="41"/>
      <c r="N10" s="4"/>
      <c r="O10" s="4"/>
      <c r="P10" s="4"/>
      <c r="Q10" s="4"/>
      <c r="R10" s="78"/>
      <c r="T10" s="4"/>
      <c r="U10" s="4"/>
      <c r="V10" s="4"/>
      <c r="W10" s="4"/>
      <c r="AJ10" s="40"/>
      <c r="AK10" s="40"/>
      <c r="AL10" s="40"/>
      <c r="AS10" s="103"/>
      <c r="AT10" s="103"/>
      <c r="AV10" s="40"/>
      <c r="AW10" s="40"/>
      <c r="BB10" s="77"/>
      <c r="BC10" s="77"/>
    </row>
    <row r="11" spans="1:61" x14ac:dyDescent="0.25">
      <c r="B11" s="32" t="s">
        <v>28</v>
      </c>
      <c r="C11" s="41"/>
      <c r="D11" s="41"/>
      <c r="E11" s="41"/>
      <c r="F11" s="41"/>
      <c r="G11" s="41"/>
      <c r="H11" s="4"/>
      <c r="I11" s="4"/>
      <c r="J11" s="4"/>
      <c r="K11" s="4"/>
      <c r="L11" s="41"/>
      <c r="M11" s="41"/>
      <c r="N11" s="4"/>
      <c r="O11" s="4"/>
      <c r="P11" s="4"/>
      <c r="Q11" s="4"/>
      <c r="R11" s="78"/>
      <c r="T11" s="4"/>
      <c r="U11" s="4"/>
      <c r="V11" s="4"/>
      <c r="W11" s="4"/>
      <c r="AJ11" s="40"/>
      <c r="AK11" s="40"/>
      <c r="AL11" s="40"/>
      <c r="AS11" s="103"/>
      <c r="AT11" s="103"/>
      <c r="AV11" s="40"/>
      <c r="AW11" s="40"/>
      <c r="BB11" s="77"/>
      <c r="BC11" s="77"/>
    </row>
    <row r="12" spans="1:61" x14ac:dyDescent="0.25">
      <c r="B12" s="25" t="s">
        <v>23</v>
      </c>
      <c r="C12" s="149">
        <f>ROUND('ST Standard from 24 Feb 26'!C12+$B$79,2)</f>
        <v>13</v>
      </c>
      <c r="D12" s="149">
        <f>ROUND('ST Standard from 24 Feb 26'!D12+$B$79,2)</f>
        <v>20.74</v>
      </c>
      <c r="E12" s="41"/>
      <c r="F12" s="41">
        <f t="shared" ref="F12:G17" si="18">C12*SUM(1+$G$1/$X$1)</f>
        <v>15.6</v>
      </c>
      <c r="G12" s="41">
        <f t="shared" si="18"/>
        <v>24.887999999999998</v>
      </c>
      <c r="H12" s="82"/>
      <c r="I12" s="41">
        <f t="shared" ref="I12:J17" si="19">F12-C12</f>
        <v>2.5999999999999996</v>
      </c>
      <c r="J12" s="41">
        <f t="shared" si="19"/>
        <v>4.1479999999999997</v>
      </c>
      <c r="K12" s="82"/>
      <c r="L12" s="41">
        <f t="shared" ref="L12:M17" si="20">ROUND(C12*(1+$G$1*2),2)*SUM(1+$M$1)</f>
        <v>17.16</v>
      </c>
      <c r="M12" s="41">
        <f t="shared" si="20"/>
        <v>27.379000000000001</v>
      </c>
      <c r="N12" s="82"/>
      <c r="O12" s="41">
        <f t="shared" ref="O12:P17" si="21">L12-C12</f>
        <v>4.16</v>
      </c>
      <c r="P12" s="41">
        <f t="shared" si="21"/>
        <v>6.6390000000000029</v>
      </c>
      <c r="Q12" s="82"/>
      <c r="R12" s="76">
        <f t="shared" ref="R12:S17" si="22">AJ12/F12</f>
        <v>0.1</v>
      </c>
      <c r="S12" s="76">
        <f t="shared" si="22"/>
        <v>0.10004821600771457</v>
      </c>
      <c r="T12" s="82"/>
      <c r="U12" s="41">
        <f t="shared" ref="U12:V17" si="23">SUM(C12/(1-$X$1))</f>
        <v>26</v>
      </c>
      <c r="V12" s="41">
        <f t="shared" si="23"/>
        <v>41.48</v>
      </c>
      <c r="W12" s="82"/>
      <c r="X12" s="41">
        <f t="shared" ref="X12:Y17" si="24">ROUND(C12/(1-$X$1)*1.2,2)</f>
        <v>31.2</v>
      </c>
      <c r="Y12" s="41">
        <f t="shared" si="24"/>
        <v>49.78</v>
      </c>
      <c r="AA12" s="182">
        <f>ROUNDDOWN(C12/(1-$X$1)*1.2,1)</f>
        <v>31.2</v>
      </c>
      <c r="AB12" s="182">
        <f>ROUNDDOWN(D12/(1-$X$1)*1.2,1)</f>
        <v>49.7</v>
      </c>
      <c r="AD12" s="40">
        <f t="shared" ref="AD12:AE17" si="25">AA12/1.2</f>
        <v>26</v>
      </c>
      <c r="AE12" s="40">
        <f t="shared" si="25"/>
        <v>41.416666666666671</v>
      </c>
      <c r="AG12" s="40">
        <f>X12-AA12</f>
        <v>0</v>
      </c>
      <c r="AH12" s="40">
        <f>Y12-AB12</f>
        <v>7.9999999999998295E-2</v>
      </c>
      <c r="AJ12" s="40">
        <f t="shared" ref="AJ12:AK17" si="26">ROUND(L12*(1-(1/(1+$AL$1))),2)</f>
        <v>1.56</v>
      </c>
      <c r="AK12" s="40">
        <f t="shared" si="26"/>
        <v>2.4900000000000002</v>
      </c>
      <c r="AL12" s="40"/>
      <c r="AM12" s="180">
        <f>SUM(U12-F12)-AG12</f>
        <v>10.4</v>
      </c>
      <c r="AN12" s="180">
        <f>SUM(V12-G12)-AH12</f>
        <v>16.512</v>
      </c>
      <c r="AP12" s="76">
        <f t="shared" ref="AP12:AQ17" si="27">(SUM(F12-C12)/C12)*$X$1</f>
        <v>9.9999999999999992E-2</v>
      </c>
      <c r="AQ12" s="76">
        <f t="shared" si="27"/>
        <v>0.1</v>
      </c>
      <c r="AS12" s="76">
        <f t="shared" ref="AS12:AT17" si="28">AM12/U12</f>
        <v>0.4</v>
      </c>
      <c r="AT12" s="76">
        <f t="shared" si="28"/>
        <v>0.3980713596914176</v>
      </c>
      <c r="AV12" s="76">
        <f t="shared" ref="AV12:AW17" si="29">C12/U12</f>
        <v>0.5</v>
      </c>
      <c r="AW12" s="76">
        <f t="shared" si="29"/>
        <v>0.5</v>
      </c>
      <c r="AX12" s="42"/>
      <c r="AY12" s="42">
        <f t="shared" ref="AY12:AZ17" si="30">I12+AM12</f>
        <v>13</v>
      </c>
      <c r="AZ12" s="42">
        <f t="shared" si="30"/>
        <v>20.66</v>
      </c>
      <c r="BA12" s="42"/>
      <c r="BB12" s="76">
        <f t="shared" ref="BB12:BC17" si="31">AY12/(C12/$X$1)</f>
        <v>0.5</v>
      </c>
      <c r="BC12" s="76">
        <f t="shared" si="31"/>
        <v>0.49807135969141758</v>
      </c>
    </row>
    <row r="13" spans="1:61" x14ac:dyDescent="0.25">
      <c r="B13" s="25" t="s">
        <v>24</v>
      </c>
      <c r="C13" s="149">
        <f>ROUND('ST Standard from 24 Feb 26'!C13+$B$79,2)</f>
        <v>16.43</v>
      </c>
      <c r="D13" s="149">
        <f>ROUND('ST Standard from 24 Feb 26'!D13+$B$79,2)</f>
        <v>24.62</v>
      </c>
      <c r="E13" s="41"/>
      <c r="F13" s="41">
        <f t="shared" si="18"/>
        <v>19.715999999999998</v>
      </c>
      <c r="G13" s="41">
        <f t="shared" si="18"/>
        <v>29.544</v>
      </c>
      <c r="H13" s="82"/>
      <c r="I13" s="41">
        <f t="shared" si="19"/>
        <v>3.2859999999999978</v>
      </c>
      <c r="J13" s="41">
        <f t="shared" si="19"/>
        <v>4.9239999999999995</v>
      </c>
      <c r="K13" s="82"/>
      <c r="L13" s="41">
        <f t="shared" si="20"/>
        <v>21.692</v>
      </c>
      <c r="M13" s="41">
        <f t="shared" si="20"/>
        <v>32.494</v>
      </c>
      <c r="N13" s="82"/>
      <c r="O13" s="41">
        <f t="shared" si="21"/>
        <v>5.2620000000000005</v>
      </c>
      <c r="P13" s="41">
        <f t="shared" si="21"/>
        <v>7.8739999999999988</v>
      </c>
      <c r="Q13" s="82"/>
      <c r="R13" s="76">
        <f t="shared" si="22"/>
        <v>9.9918847636437422E-2</v>
      </c>
      <c r="S13" s="76">
        <f t="shared" si="22"/>
        <v>9.9851069591118335E-2</v>
      </c>
      <c r="T13" s="82"/>
      <c r="U13" s="41">
        <f t="shared" si="23"/>
        <v>32.86</v>
      </c>
      <c r="V13" s="41">
        <f t="shared" si="23"/>
        <v>49.24</v>
      </c>
      <c r="W13" s="82"/>
      <c r="X13" s="41">
        <f t="shared" si="24"/>
        <v>39.43</v>
      </c>
      <c r="Y13" s="41">
        <f t="shared" si="24"/>
        <v>59.09</v>
      </c>
      <c r="AA13" s="182">
        <f t="shared" ref="AA13:AB16" si="32">ROUNDDOWN(C13/(1-$X$1)*1.2,1)</f>
        <v>39.4</v>
      </c>
      <c r="AB13" s="182">
        <f t="shared" si="32"/>
        <v>59</v>
      </c>
      <c r="AD13" s="40">
        <f t="shared" si="25"/>
        <v>32.833333333333336</v>
      </c>
      <c r="AE13" s="40">
        <f t="shared" si="25"/>
        <v>49.166666666666671</v>
      </c>
      <c r="AG13" s="40">
        <f t="shared" ref="AG13:AH17" si="33">X13-AA13</f>
        <v>3.0000000000001137E-2</v>
      </c>
      <c r="AH13" s="40">
        <f t="shared" si="33"/>
        <v>9.0000000000003411E-2</v>
      </c>
      <c r="AJ13" s="40">
        <f t="shared" si="26"/>
        <v>1.97</v>
      </c>
      <c r="AK13" s="40">
        <f t="shared" si="26"/>
        <v>2.95</v>
      </c>
      <c r="AL13" s="40"/>
      <c r="AM13" s="180">
        <f t="shared" ref="AM13:AM17" si="34">SUM(U13-F13)-AG13</f>
        <v>13.114000000000001</v>
      </c>
      <c r="AN13" s="180">
        <f t="shared" ref="AN13:AN17" si="35">SUM(V13-G13)-AH13</f>
        <v>19.605999999999998</v>
      </c>
      <c r="AP13" s="76">
        <f t="shared" si="27"/>
        <v>9.9999999999999936E-2</v>
      </c>
      <c r="AQ13" s="76">
        <f t="shared" si="27"/>
        <v>9.9999999999999992E-2</v>
      </c>
      <c r="AS13" s="76">
        <f t="shared" si="28"/>
        <v>0.3990870359099209</v>
      </c>
      <c r="AT13" s="76">
        <f t="shared" si="28"/>
        <v>0.39817221770917949</v>
      </c>
      <c r="AV13" s="76">
        <f t="shared" si="29"/>
        <v>0.5</v>
      </c>
      <c r="AW13" s="76">
        <f t="shared" si="29"/>
        <v>0.5</v>
      </c>
      <c r="AX13" s="42"/>
      <c r="AY13" s="42">
        <f t="shared" si="30"/>
        <v>16.399999999999999</v>
      </c>
      <c r="AZ13" s="42">
        <f t="shared" si="30"/>
        <v>24.529999999999998</v>
      </c>
      <c r="BA13" s="42"/>
      <c r="BB13" s="76">
        <f t="shared" si="31"/>
        <v>0.49908703590992082</v>
      </c>
      <c r="BC13" s="76">
        <f t="shared" si="31"/>
        <v>0.49817221770917947</v>
      </c>
    </row>
    <row r="14" spans="1:61" x14ac:dyDescent="0.25">
      <c r="B14" s="25" t="s">
        <v>25</v>
      </c>
      <c r="C14" s="149">
        <f>ROUND('ST Standard from 24 Feb 26'!C14+$B$79,2)</f>
        <v>19.16</v>
      </c>
      <c r="D14" s="149">
        <f>ROUND('ST Standard from 24 Feb 26'!D14+$B$79,2)</f>
        <v>27.48</v>
      </c>
      <c r="E14" s="41"/>
      <c r="F14" s="41">
        <f t="shared" si="18"/>
        <v>22.992000000000001</v>
      </c>
      <c r="G14" s="41">
        <f t="shared" si="18"/>
        <v>32.975999999999999</v>
      </c>
      <c r="H14" s="82"/>
      <c r="I14" s="41">
        <f t="shared" si="19"/>
        <v>3.8320000000000007</v>
      </c>
      <c r="J14" s="41">
        <f t="shared" si="19"/>
        <v>5.4959999999999987</v>
      </c>
      <c r="K14" s="82"/>
      <c r="L14" s="41">
        <f t="shared" si="20"/>
        <v>25.289000000000001</v>
      </c>
      <c r="M14" s="41">
        <f t="shared" si="20"/>
        <v>36.277999999999999</v>
      </c>
      <c r="N14" s="82"/>
      <c r="O14" s="41">
        <f t="shared" si="21"/>
        <v>6.1290000000000013</v>
      </c>
      <c r="P14" s="41">
        <f t="shared" si="21"/>
        <v>8.7979999999999983</v>
      </c>
      <c r="Q14" s="82"/>
      <c r="R14" s="76">
        <f t="shared" si="22"/>
        <v>0.10003479471120388</v>
      </c>
      <c r="S14" s="76">
        <f t="shared" si="22"/>
        <v>0.10007278020378457</v>
      </c>
      <c r="T14" s="82"/>
      <c r="U14" s="41">
        <f t="shared" si="23"/>
        <v>38.32</v>
      </c>
      <c r="V14" s="41">
        <f t="shared" si="23"/>
        <v>54.96</v>
      </c>
      <c r="W14" s="82"/>
      <c r="X14" s="41">
        <f t="shared" si="24"/>
        <v>45.98</v>
      </c>
      <c r="Y14" s="41">
        <f t="shared" si="24"/>
        <v>65.95</v>
      </c>
      <c r="AA14" s="182">
        <f t="shared" si="32"/>
        <v>45.9</v>
      </c>
      <c r="AB14" s="182">
        <f t="shared" si="32"/>
        <v>65.900000000000006</v>
      </c>
      <c r="AD14" s="40">
        <f t="shared" si="25"/>
        <v>38.25</v>
      </c>
      <c r="AE14" s="40">
        <f t="shared" si="25"/>
        <v>54.916666666666671</v>
      </c>
      <c r="AG14" s="40">
        <f t="shared" si="33"/>
        <v>7.9999999999998295E-2</v>
      </c>
      <c r="AH14" s="40">
        <f t="shared" si="33"/>
        <v>4.9999999999997158E-2</v>
      </c>
      <c r="AJ14" s="40">
        <f t="shared" si="26"/>
        <v>2.2999999999999998</v>
      </c>
      <c r="AK14" s="40">
        <f t="shared" si="26"/>
        <v>3.3</v>
      </c>
      <c r="AL14" s="40"/>
      <c r="AM14" s="180">
        <f t="shared" si="34"/>
        <v>15.248000000000001</v>
      </c>
      <c r="AN14" s="180">
        <f t="shared" si="35"/>
        <v>21.934000000000005</v>
      </c>
      <c r="AP14" s="76">
        <f t="shared" si="27"/>
        <v>0.10000000000000002</v>
      </c>
      <c r="AQ14" s="76">
        <f t="shared" si="27"/>
        <v>9.9999999999999978E-2</v>
      </c>
      <c r="AS14" s="76">
        <f t="shared" si="28"/>
        <v>0.39791231732776622</v>
      </c>
      <c r="AT14" s="76">
        <f t="shared" si="28"/>
        <v>0.39909024745269295</v>
      </c>
      <c r="AV14" s="76">
        <f t="shared" si="29"/>
        <v>0.5</v>
      </c>
      <c r="AW14" s="76">
        <f t="shared" si="29"/>
        <v>0.5</v>
      </c>
      <c r="AX14" s="42"/>
      <c r="AY14" s="42">
        <f t="shared" si="30"/>
        <v>19.080000000000002</v>
      </c>
      <c r="AZ14" s="42">
        <f t="shared" si="30"/>
        <v>27.430000000000003</v>
      </c>
      <c r="BA14" s="42"/>
      <c r="BB14" s="76">
        <f t="shared" si="31"/>
        <v>0.49791231732776625</v>
      </c>
      <c r="BC14" s="76">
        <f t="shared" si="31"/>
        <v>0.49909024745269293</v>
      </c>
    </row>
    <row r="15" spans="1:61" x14ac:dyDescent="0.25">
      <c r="B15" s="25" t="s">
        <v>26</v>
      </c>
      <c r="C15" s="149">
        <f>ROUND('ST Standard from 24 Feb 26'!C15+$B$79,2)</f>
        <v>24.97</v>
      </c>
      <c r="D15" s="149">
        <f>ROUND('ST Standard from 24 Feb 26'!D15+$B$79,2)</f>
        <v>34.78</v>
      </c>
      <c r="E15" s="41"/>
      <c r="F15" s="41">
        <f t="shared" si="18"/>
        <v>29.963999999999999</v>
      </c>
      <c r="G15" s="41">
        <f t="shared" si="18"/>
        <v>41.735999999999997</v>
      </c>
      <c r="H15" s="82"/>
      <c r="I15" s="41">
        <f t="shared" si="19"/>
        <v>4.9939999999999998</v>
      </c>
      <c r="J15" s="41">
        <f t="shared" si="19"/>
        <v>6.955999999999996</v>
      </c>
      <c r="K15" s="82"/>
      <c r="L15" s="41">
        <f t="shared" si="20"/>
        <v>32.956000000000003</v>
      </c>
      <c r="M15" s="41">
        <f t="shared" si="20"/>
        <v>45.914000000000009</v>
      </c>
      <c r="N15" s="82"/>
      <c r="O15" s="41">
        <f t="shared" si="21"/>
        <v>7.9860000000000042</v>
      </c>
      <c r="P15" s="41">
        <f t="shared" si="21"/>
        <v>11.134000000000007</v>
      </c>
      <c r="Q15" s="82"/>
      <c r="R15" s="76">
        <f t="shared" si="22"/>
        <v>0.10012014417300762</v>
      </c>
      <c r="S15" s="76">
        <f t="shared" si="22"/>
        <v>9.9913743530764806E-2</v>
      </c>
      <c r="T15" s="82"/>
      <c r="U15" s="41">
        <f t="shared" si="23"/>
        <v>49.94</v>
      </c>
      <c r="V15" s="41">
        <f t="shared" si="23"/>
        <v>69.56</v>
      </c>
      <c r="W15" s="82"/>
      <c r="X15" s="41">
        <f t="shared" si="24"/>
        <v>59.93</v>
      </c>
      <c r="Y15" s="41">
        <f t="shared" si="24"/>
        <v>83.47</v>
      </c>
      <c r="AA15" s="182">
        <f t="shared" si="32"/>
        <v>59.9</v>
      </c>
      <c r="AB15" s="182">
        <f t="shared" si="32"/>
        <v>83.4</v>
      </c>
      <c r="AD15" s="40">
        <f t="shared" si="25"/>
        <v>49.916666666666664</v>
      </c>
      <c r="AE15" s="40">
        <f t="shared" si="25"/>
        <v>69.500000000000014</v>
      </c>
      <c r="AG15" s="40">
        <f t="shared" si="33"/>
        <v>3.0000000000001137E-2</v>
      </c>
      <c r="AH15" s="40">
        <f t="shared" si="33"/>
        <v>6.9999999999993179E-2</v>
      </c>
      <c r="AJ15" s="40">
        <f t="shared" si="26"/>
        <v>3</v>
      </c>
      <c r="AK15" s="40">
        <f t="shared" si="26"/>
        <v>4.17</v>
      </c>
      <c r="AL15" s="40"/>
      <c r="AM15" s="180">
        <f t="shared" si="34"/>
        <v>19.945999999999998</v>
      </c>
      <c r="AN15" s="180">
        <f t="shared" si="35"/>
        <v>27.754000000000012</v>
      </c>
      <c r="AP15" s="76">
        <f t="shared" si="27"/>
        <v>0.1</v>
      </c>
      <c r="AQ15" s="76">
        <f t="shared" si="27"/>
        <v>9.9999999999999936E-2</v>
      </c>
      <c r="AS15" s="76">
        <f t="shared" si="28"/>
        <v>0.39939927913496193</v>
      </c>
      <c r="AT15" s="76">
        <f t="shared" si="28"/>
        <v>0.39899367452558959</v>
      </c>
      <c r="AV15" s="76">
        <f t="shared" si="29"/>
        <v>0.5</v>
      </c>
      <c r="AW15" s="76">
        <f t="shared" si="29"/>
        <v>0.5</v>
      </c>
      <c r="AX15" s="42"/>
      <c r="AY15" s="42">
        <f t="shared" si="30"/>
        <v>24.939999999999998</v>
      </c>
      <c r="AZ15" s="42">
        <f t="shared" si="30"/>
        <v>34.710000000000008</v>
      </c>
      <c r="BA15" s="42"/>
      <c r="BB15" s="76">
        <f t="shared" si="31"/>
        <v>0.4993992791349619</v>
      </c>
      <c r="BC15" s="76">
        <f t="shared" si="31"/>
        <v>0.49899367452558951</v>
      </c>
    </row>
    <row r="16" spans="1:61" x14ac:dyDescent="0.25">
      <c r="B16" s="25" t="s">
        <v>27</v>
      </c>
      <c r="C16" s="149">
        <f>ROUND('ST Standard from 24 Feb 26'!C16+$B$79,2)</f>
        <v>29.27</v>
      </c>
      <c r="D16" s="149">
        <f>ROUND('ST Standard from 24 Feb 26'!D16+$B$79,2)</f>
        <v>40.57</v>
      </c>
      <c r="E16" s="41"/>
      <c r="F16" s="41">
        <f t="shared" si="18"/>
        <v>35.123999999999995</v>
      </c>
      <c r="G16" s="41">
        <f t="shared" si="18"/>
        <v>48.683999999999997</v>
      </c>
      <c r="H16" s="82"/>
      <c r="I16" s="41">
        <f t="shared" si="19"/>
        <v>5.8539999999999957</v>
      </c>
      <c r="J16" s="41">
        <f t="shared" si="19"/>
        <v>8.1139999999999972</v>
      </c>
      <c r="K16" s="82"/>
      <c r="L16" s="41">
        <f t="shared" si="20"/>
        <v>38.631999999999998</v>
      </c>
      <c r="M16" s="41">
        <f t="shared" si="20"/>
        <v>53.548000000000002</v>
      </c>
      <c r="N16" s="82"/>
      <c r="O16" s="41">
        <f t="shared" si="21"/>
        <v>9.3619999999999983</v>
      </c>
      <c r="P16" s="41">
        <f t="shared" si="21"/>
        <v>12.978000000000002</v>
      </c>
      <c r="Q16" s="82"/>
      <c r="R16" s="76">
        <f t="shared" si="22"/>
        <v>9.9931670652545282E-2</v>
      </c>
      <c r="S16" s="76">
        <f t="shared" si="22"/>
        <v>0.10003286500698381</v>
      </c>
      <c r="T16" s="82"/>
      <c r="U16" s="41">
        <f t="shared" si="23"/>
        <v>58.54</v>
      </c>
      <c r="V16" s="41">
        <f t="shared" si="23"/>
        <v>81.14</v>
      </c>
      <c r="W16" s="82"/>
      <c r="X16" s="41">
        <f t="shared" si="24"/>
        <v>70.25</v>
      </c>
      <c r="Y16" s="41">
        <f t="shared" si="24"/>
        <v>97.37</v>
      </c>
      <c r="AA16" s="182">
        <f t="shared" si="32"/>
        <v>70.2</v>
      </c>
      <c r="AB16" s="182">
        <f t="shared" si="32"/>
        <v>97.3</v>
      </c>
      <c r="AD16" s="40">
        <f t="shared" si="25"/>
        <v>58.500000000000007</v>
      </c>
      <c r="AE16" s="40">
        <f t="shared" si="25"/>
        <v>81.083333333333329</v>
      </c>
      <c r="AG16" s="40">
        <f t="shared" si="33"/>
        <v>4.9999999999997158E-2</v>
      </c>
      <c r="AH16" s="40">
        <f t="shared" si="33"/>
        <v>7.000000000000739E-2</v>
      </c>
      <c r="AJ16" s="40">
        <f t="shared" si="26"/>
        <v>3.51</v>
      </c>
      <c r="AK16" s="40">
        <f t="shared" si="26"/>
        <v>4.87</v>
      </c>
      <c r="AL16" s="40"/>
      <c r="AM16" s="180">
        <f t="shared" si="34"/>
        <v>23.366000000000007</v>
      </c>
      <c r="AN16" s="180">
        <f t="shared" si="35"/>
        <v>32.385999999999996</v>
      </c>
      <c r="AP16" s="76">
        <f t="shared" si="27"/>
        <v>9.9999999999999922E-2</v>
      </c>
      <c r="AQ16" s="76">
        <f t="shared" si="27"/>
        <v>9.9999999999999964E-2</v>
      </c>
      <c r="AS16" s="76">
        <f t="shared" si="28"/>
        <v>0.39914588315681598</v>
      </c>
      <c r="AT16" s="76">
        <f t="shared" si="28"/>
        <v>0.39913729356667482</v>
      </c>
      <c r="AV16" s="76">
        <f t="shared" si="29"/>
        <v>0.5</v>
      </c>
      <c r="AW16" s="76">
        <f t="shared" si="29"/>
        <v>0.5</v>
      </c>
      <c r="AX16" s="42"/>
      <c r="AY16" s="42">
        <f t="shared" si="30"/>
        <v>29.220000000000002</v>
      </c>
      <c r="AZ16" s="42">
        <f t="shared" si="30"/>
        <v>40.499999999999993</v>
      </c>
      <c r="BA16" s="42"/>
      <c r="BB16" s="76">
        <f t="shared" si="31"/>
        <v>0.49914588315681591</v>
      </c>
      <c r="BC16" s="76">
        <f t="shared" si="31"/>
        <v>0.4991372935666748</v>
      </c>
    </row>
    <row r="17" spans="2:55" x14ac:dyDescent="0.25">
      <c r="B17" s="25" t="s">
        <v>29</v>
      </c>
      <c r="C17" s="149">
        <f>ROUND('ST Standard from 24 Feb 26'!C17,2)</f>
        <v>3.76</v>
      </c>
      <c r="D17" s="149">
        <f>ROUND('ST Standard from 24 Feb 26'!D17,2)</f>
        <v>5.1100000000000003</v>
      </c>
      <c r="E17" s="41"/>
      <c r="F17" s="41">
        <f t="shared" si="18"/>
        <v>4.5119999999999996</v>
      </c>
      <c r="G17" s="41">
        <f t="shared" si="18"/>
        <v>6.1320000000000006</v>
      </c>
      <c r="H17" s="82"/>
      <c r="I17" s="41">
        <f t="shared" si="19"/>
        <v>0.75199999999999978</v>
      </c>
      <c r="J17" s="41">
        <f t="shared" si="19"/>
        <v>1.0220000000000002</v>
      </c>
      <c r="K17" s="82"/>
      <c r="L17" s="41">
        <f t="shared" si="20"/>
        <v>4.9610000000000003</v>
      </c>
      <c r="M17" s="41">
        <f t="shared" si="20"/>
        <v>6.7430000000000003</v>
      </c>
      <c r="N17" s="82"/>
      <c r="O17" s="41">
        <f t="shared" si="21"/>
        <v>1.2010000000000005</v>
      </c>
      <c r="P17" s="41">
        <f t="shared" si="21"/>
        <v>1.633</v>
      </c>
      <c r="Q17" s="82"/>
      <c r="R17" s="76">
        <f t="shared" si="22"/>
        <v>9.9734042553191501E-2</v>
      </c>
      <c r="S17" s="76">
        <f t="shared" si="22"/>
        <v>9.9478147423352897E-2</v>
      </c>
      <c r="T17" s="82"/>
      <c r="U17" s="41">
        <f t="shared" si="23"/>
        <v>7.52</v>
      </c>
      <c r="V17" s="41">
        <f t="shared" si="23"/>
        <v>10.220000000000001</v>
      </c>
      <c r="W17" s="82"/>
      <c r="X17" s="41">
        <f t="shared" si="24"/>
        <v>9.02</v>
      </c>
      <c r="Y17" s="41">
        <f t="shared" si="24"/>
        <v>12.26</v>
      </c>
      <c r="AA17" s="182">
        <f>ROUNDDOWN(C17/(1-$X$1)*1.2,1)</f>
        <v>9</v>
      </c>
      <c r="AB17" s="182">
        <f>ROUNDDOWN(D17/(1-$X$1)*1.2,1)</f>
        <v>12.2</v>
      </c>
      <c r="AD17" s="40">
        <f t="shared" si="25"/>
        <v>7.5</v>
      </c>
      <c r="AE17" s="40">
        <f t="shared" si="25"/>
        <v>10.166666666666666</v>
      </c>
      <c r="AG17" s="40">
        <f t="shared" si="33"/>
        <v>1.9999999999999574E-2</v>
      </c>
      <c r="AH17" s="40">
        <f t="shared" si="33"/>
        <v>6.0000000000000497E-2</v>
      </c>
      <c r="AJ17" s="40">
        <f t="shared" si="26"/>
        <v>0.45</v>
      </c>
      <c r="AK17" s="40">
        <f t="shared" si="26"/>
        <v>0.61</v>
      </c>
      <c r="AL17" s="40"/>
      <c r="AM17" s="180">
        <f t="shared" si="34"/>
        <v>2.9880000000000004</v>
      </c>
      <c r="AN17" s="180">
        <f t="shared" si="35"/>
        <v>4.0279999999999996</v>
      </c>
      <c r="AP17" s="76">
        <f t="shared" si="27"/>
        <v>9.9999999999999978E-2</v>
      </c>
      <c r="AQ17" s="76">
        <f t="shared" si="27"/>
        <v>0.10000000000000002</v>
      </c>
      <c r="AS17" s="76">
        <f t="shared" si="28"/>
        <v>0.39734042553191495</v>
      </c>
      <c r="AT17" s="76">
        <f t="shared" si="28"/>
        <v>0.39412915851272007</v>
      </c>
      <c r="AV17" s="76">
        <f t="shared" si="29"/>
        <v>0.5</v>
      </c>
      <c r="AW17" s="76">
        <f t="shared" si="29"/>
        <v>0.5</v>
      </c>
      <c r="AX17" s="42"/>
      <c r="AY17" s="42">
        <f t="shared" si="30"/>
        <v>3.74</v>
      </c>
      <c r="AZ17" s="42">
        <f t="shared" si="30"/>
        <v>5.05</v>
      </c>
      <c r="BA17" s="42"/>
      <c r="BB17" s="76">
        <f t="shared" si="31"/>
        <v>0.49734042553191493</v>
      </c>
      <c r="BC17" s="76">
        <f t="shared" si="31"/>
        <v>0.4941291585127201</v>
      </c>
    </row>
    <row r="18" spans="2:55" x14ac:dyDescent="0.25">
      <c r="B18" s="25"/>
      <c r="C18" s="41"/>
      <c r="D18" s="41"/>
      <c r="E18" s="41"/>
      <c r="F18" s="41"/>
      <c r="G18" s="41"/>
      <c r="H18" s="82"/>
      <c r="I18" s="82"/>
      <c r="J18" s="82"/>
      <c r="K18" s="82"/>
      <c r="L18" s="41"/>
      <c r="M18" s="41"/>
      <c r="N18" s="4"/>
      <c r="O18" s="4"/>
      <c r="P18" s="4"/>
      <c r="Q18" s="4"/>
      <c r="R18" s="78"/>
      <c r="T18" s="4"/>
      <c r="U18" s="4"/>
      <c r="V18" s="4"/>
      <c r="W18" s="4"/>
      <c r="AJ18" s="40"/>
      <c r="AK18" s="40"/>
      <c r="AL18" s="40"/>
      <c r="AS18" s="103"/>
      <c r="AT18" s="103"/>
      <c r="AV18" s="40"/>
      <c r="AW18" s="40"/>
      <c r="BB18" s="77"/>
      <c r="BC18" s="77"/>
    </row>
    <row r="19" spans="2:55" x14ac:dyDescent="0.25">
      <c r="B19" s="32" t="s">
        <v>30</v>
      </c>
      <c r="C19" s="41"/>
      <c r="D19" s="41"/>
      <c r="E19" s="41"/>
      <c r="F19" s="41"/>
      <c r="G19" s="41"/>
      <c r="H19" s="82"/>
      <c r="I19" s="82"/>
      <c r="J19" s="82"/>
      <c r="K19" s="82"/>
      <c r="L19" s="41"/>
      <c r="M19" s="41"/>
      <c r="N19" s="4"/>
      <c r="O19" s="4"/>
      <c r="P19" s="4"/>
      <c r="Q19" s="4"/>
      <c r="R19" s="78"/>
      <c r="T19" s="4"/>
      <c r="U19" s="4"/>
      <c r="V19" s="4"/>
      <c r="W19" s="4"/>
      <c r="AJ19" s="40"/>
      <c r="AK19" s="40"/>
      <c r="AL19" s="40"/>
      <c r="AS19" s="103"/>
      <c r="AT19" s="103"/>
      <c r="AV19" s="40"/>
      <c r="AW19" s="40"/>
      <c r="BB19" s="77"/>
      <c r="BC19" s="77"/>
    </row>
    <row r="20" spans="2:55" x14ac:dyDescent="0.25">
      <c r="B20" s="25" t="s">
        <v>31</v>
      </c>
      <c r="C20" s="149">
        <f>ROUND('ST Standard from 24 Feb 26'!C20+$B$80,2)</f>
        <v>27.27</v>
      </c>
      <c r="D20" s="149">
        <f>ROUND('ST Standard from 24 Feb 26'!D20+$B$80,2)</f>
        <v>33.32</v>
      </c>
      <c r="E20" s="41"/>
      <c r="F20" s="41">
        <f t="shared" ref="F20:G25" si="36">C20*SUM(1+$G$1/$X$1)</f>
        <v>32.723999999999997</v>
      </c>
      <c r="G20" s="41">
        <f t="shared" si="36"/>
        <v>39.984000000000002</v>
      </c>
      <c r="H20" s="82"/>
      <c r="I20" s="41">
        <f t="shared" ref="I20:J25" si="37">F20-C20</f>
        <v>5.4539999999999971</v>
      </c>
      <c r="J20" s="41">
        <f t="shared" si="37"/>
        <v>6.6640000000000015</v>
      </c>
      <c r="K20" s="82"/>
      <c r="L20" s="41">
        <f t="shared" ref="L20:M25" si="38">ROUND(C20*(1+$G$1*2),2)*SUM(1+$M$1)</f>
        <v>35.992000000000004</v>
      </c>
      <c r="M20" s="41">
        <f t="shared" si="38"/>
        <v>43.978000000000002</v>
      </c>
      <c r="N20" s="82"/>
      <c r="O20" s="41">
        <f t="shared" ref="O20:P25" si="39">L20-C20</f>
        <v>8.7220000000000049</v>
      </c>
      <c r="P20" s="41">
        <f t="shared" si="39"/>
        <v>10.658000000000001</v>
      </c>
      <c r="Q20" s="82"/>
      <c r="R20" s="76">
        <f t="shared" ref="R20:S25" si="40">AJ20/F20</f>
        <v>9.9926659332599935E-2</v>
      </c>
      <c r="S20" s="76">
        <f t="shared" si="40"/>
        <v>0.10004001600640255</v>
      </c>
      <c r="T20" s="82"/>
      <c r="U20" s="41">
        <f t="shared" ref="U20:V25" si="41">SUM(C20/(1-$X$1))</f>
        <v>54.54</v>
      </c>
      <c r="V20" s="41">
        <f t="shared" si="41"/>
        <v>66.64</v>
      </c>
      <c r="W20" s="82"/>
      <c r="X20" s="41">
        <f t="shared" ref="X20:Y25" si="42">ROUND(C20/(1-$X$1)*1.2,2)</f>
        <v>65.45</v>
      </c>
      <c r="Y20" s="41">
        <f t="shared" si="42"/>
        <v>79.97</v>
      </c>
      <c r="AA20" s="182">
        <f>ROUNDDOWN(C20/(1-$X$1)*1.2,1)</f>
        <v>65.400000000000006</v>
      </c>
      <c r="AB20" s="182">
        <f>ROUNDDOWN(D20/(1-$X$1)*1.2,1)</f>
        <v>79.900000000000006</v>
      </c>
      <c r="AD20" s="40">
        <f t="shared" ref="AD20:AE25" si="43">AA20/1.2</f>
        <v>54.500000000000007</v>
      </c>
      <c r="AE20" s="40">
        <f t="shared" si="43"/>
        <v>66.583333333333343</v>
      </c>
      <c r="AG20" s="40">
        <f>X20-AA20</f>
        <v>4.9999999999997158E-2</v>
      </c>
      <c r="AH20" s="40">
        <f>Y20-AB20</f>
        <v>6.9999999999993179E-2</v>
      </c>
      <c r="AJ20" s="40">
        <f t="shared" ref="AJ20:AK25" si="44">ROUND(L20*(1-(1/(1+$AL$1))),2)</f>
        <v>3.27</v>
      </c>
      <c r="AK20" s="40">
        <f t="shared" si="44"/>
        <v>4</v>
      </c>
      <c r="AL20" s="40"/>
      <c r="AM20" s="180">
        <f>SUM(U20-F20)-AG20</f>
        <v>21.766000000000005</v>
      </c>
      <c r="AN20" s="180">
        <f>SUM(V20-G20)-AH20</f>
        <v>26.586000000000006</v>
      </c>
      <c r="AP20" s="76">
        <f t="shared" ref="AP20:AQ25" si="45">(SUM(F20-C20)/C20)*$X$1</f>
        <v>9.999999999999995E-2</v>
      </c>
      <c r="AQ20" s="76">
        <f t="shared" si="45"/>
        <v>0.10000000000000002</v>
      </c>
      <c r="AS20" s="76">
        <f t="shared" ref="AS20:AT25" si="46">AM20/U20</f>
        <v>0.3990832416574992</v>
      </c>
      <c r="AT20" s="76">
        <f t="shared" si="46"/>
        <v>0.39894957983193285</v>
      </c>
      <c r="AV20" s="76">
        <f t="shared" ref="AV20:AW25" si="47">C20/U20</f>
        <v>0.5</v>
      </c>
      <c r="AW20" s="76">
        <f t="shared" si="47"/>
        <v>0.5</v>
      </c>
      <c r="AX20" s="42"/>
      <c r="AY20" s="42">
        <f t="shared" ref="AY20:AZ25" si="48">I20+AM20</f>
        <v>27.220000000000002</v>
      </c>
      <c r="AZ20" s="42">
        <f t="shared" si="48"/>
        <v>33.250000000000007</v>
      </c>
      <c r="BA20" s="42"/>
      <c r="BB20" s="76">
        <f t="shared" ref="BB20:BC25" si="49">AY20/(C20/$X$1)</f>
        <v>0.49908324165749912</v>
      </c>
      <c r="BC20" s="76">
        <f t="shared" si="49"/>
        <v>0.49894957983193289</v>
      </c>
    </row>
    <row r="21" spans="2:55" x14ac:dyDescent="0.25">
      <c r="B21" s="25" t="s">
        <v>24</v>
      </c>
      <c r="C21" s="149">
        <f>ROUND('ST Standard from 24 Feb 26'!C21+$B$80,2)</f>
        <v>32.409999999999997</v>
      </c>
      <c r="D21" s="149">
        <f>ROUND('ST Standard from 24 Feb 26'!D21+$B$80,2)</f>
        <v>36.880000000000003</v>
      </c>
      <c r="E21" s="41"/>
      <c r="F21" s="41">
        <f t="shared" si="36"/>
        <v>38.891999999999996</v>
      </c>
      <c r="G21" s="41">
        <f t="shared" si="36"/>
        <v>44.256</v>
      </c>
      <c r="H21" s="82"/>
      <c r="I21" s="41">
        <f t="shared" si="37"/>
        <v>6.4819999999999993</v>
      </c>
      <c r="J21" s="41">
        <f t="shared" si="37"/>
        <v>7.3759999999999977</v>
      </c>
      <c r="K21" s="82"/>
      <c r="L21" s="41">
        <f t="shared" si="38"/>
        <v>42.779000000000003</v>
      </c>
      <c r="M21" s="41">
        <f t="shared" si="38"/>
        <v>48.686</v>
      </c>
      <c r="N21" s="82"/>
      <c r="O21" s="41">
        <f t="shared" si="39"/>
        <v>10.369000000000007</v>
      </c>
      <c r="P21" s="41">
        <f t="shared" si="39"/>
        <v>11.805999999999997</v>
      </c>
      <c r="Q21" s="82"/>
      <c r="R21" s="76">
        <f t="shared" si="40"/>
        <v>0.1000205697829888</v>
      </c>
      <c r="S21" s="76">
        <f t="shared" si="40"/>
        <v>0.1000994215473608</v>
      </c>
      <c r="T21" s="82"/>
      <c r="U21" s="41">
        <f t="shared" si="41"/>
        <v>64.819999999999993</v>
      </c>
      <c r="V21" s="41">
        <f t="shared" si="41"/>
        <v>73.760000000000005</v>
      </c>
      <c r="W21" s="82"/>
      <c r="X21" s="41">
        <f t="shared" si="42"/>
        <v>77.78</v>
      </c>
      <c r="Y21" s="41">
        <f t="shared" si="42"/>
        <v>88.51</v>
      </c>
      <c r="AA21" s="182">
        <f t="shared" ref="AA21:AB24" si="50">ROUNDDOWN(C21/(1-$X$1)*1.2,1)</f>
        <v>77.7</v>
      </c>
      <c r="AB21" s="182">
        <f t="shared" si="50"/>
        <v>88.5</v>
      </c>
      <c r="AD21" s="40">
        <f t="shared" si="43"/>
        <v>64.75</v>
      </c>
      <c r="AE21" s="40">
        <f t="shared" si="43"/>
        <v>73.75</v>
      </c>
      <c r="AG21" s="40">
        <f t="shared" ref="AG21:AH25" si="51">X21-AA21</f>
        <v>7.9999999999998295E-2</v>
      </c>
      <c r="AH21" s="40">
        <f t="shared" si="51"/>
        <v>1.0000000000005116E-2</v>
      </c>
      <c r="AJ21" s="40">
        <f t="shared" si="44"/>
        <v>3.89</v>
      </c>
      <c r="AK21" s="40">
        <f t="shared" si="44"/>
        <v>4.43</v>
      </c>
      <c r="AL21" s="40"/>
      <c r="AM21" s="180">
        <f t="shared" ref="AM21:AM25" si="52">SUM(U21-F21)-AG21</f>
        <v>25.847999999999999</v>
      </c>
      <c r="AN21" s="180">
        <f t="shared" ref="AN21:AN25" si="53">SUM(V21-G21)-AH21</f>
        <v>29.494</v>
      </c>
      <c r="AP21" s="76">
        <f t="shared" si="45"/>
        <v>0.1</v>
      </c>
      <c r="AQ21" s="76">
        <f t="shared" si="45"/>
        <v>9.9999999999999964E-2</v>
      </c>
      <c r="AS21" s="76">
        <f t="shared" si="46"/>
        <v>0.39876581302067265</v>
      </c>
      <c r="AT21" s="76">
        <f t="shared" si="46"/>
        <v>0.39986442516268977</v>
      </c>
      <c r="AV21" s="76">
        <f t="shared" si="47"/>
        <v>0.5</v>
      </c>
      <c r="AW21" s="76">
        <f t="shared" si="47"/>
        <v>0.5</v>
      </c>
      <c r="AX21" s="42"/>
      <c r="AY21" s="42">
        <f t="shared" si="48"/>
        <v>32.33</v>
      </c>
      <c r="AZ21" s="42">
        <f t="shared" si="48"/>
        <v>36.869999999999997</v>
      </c>
      <c r="BA21" s="42"/>
      <c r="BB21" s="76">
        <f t="shared" si="49"/>
        <v>0.49876581302067263</v>
      </c>
      <c r="BC21" s="76">
        <f t="shared" si="49"/>
        <v>0.49986442516268975</v>
      </c>
    </row>
    <row r="22" spans="2:55" x14ac:dyDescent="0.25">
      <c r="B22" s="25" t="s">
        <v>25</v>
      </c>
      <c r="C22" s="149">
        <f>ROUND('ST Standard from 24 Feb 26'!C22+$B$80,2)</f>
        <v>39.1</v>
      </c>
      <c r="D22" s="149">
        <f>ROUND('ST Standard from 24 Feb 26'!D22+$B$80,2)</f>
        <v>44.87</v>
      </c>
      <c r="E22" s="41"/>
      <c r="F22" s="41">
        <f t="shared" si="36"/>
        <v>46.92</v>
      </c>
      <c r="G22" s="41">
        <f t="shared" si="36"/>
        <v>53.843999999999994</v>
      </c>
      <c r="H22" s="82"/>
      <c r="I22" s="41">
        <f t="shared" si="37"/>
        <v>7.82</v>
      </c>
      <c r="J22" s="41">
        <f t="shared" si="37"/>
        <v>8.9739999999999966</v>
      </c>
      <c r="K22" s="82"/>
      <c r="L22" s="41">
        <f t="shared" si="38"/>
        <v>51.612000000000009</v>
      </c>
      <c r="M22" s="41">
        <f t="shared" si="38"/>
        <v>59.224000000000011</v>
      </c>
      <c r="N22" s="82"/>
      <c r="O22" s="41">
        <f t="shared" si="39"/>
        <v>12.512000000000008</v>
      </c>
      <c r="P22" s="41">
        <f t="shared" si="39"/>
        <v>14.354000000000013</v>
      </c>
      <c r="Q22" s="82"/>
      <c r="R22" s="76">
        <f t="shared" si="40"/>
        <v>9.995737425404945E-2</v>
      </c>
      <c r="S22" s="76">
        <f t="shared" si="40"/>
        <v>9.9918282445583553E-2</v>
      </c>
      <c r="T22" s="82"/>
      <c r="U22" s="41">
        <f t="shared" si="41"/>
        <v>78.2</v>
      </c>
      <c r="V22" s="41">
        <f t="shared" si="41"/>
        <v>89.74</v>
      </c>
      <c r="W22" s="82"/>
      <c r="X22" s="41">
        <f t="shared" si="42"/>
        <v>93.84</v>
      </c>
      <c r="Y22" s="41">
        <f t="shared" si="42"/>
        <v>107.69</v>
      </c>
      <c r="AA22" s="182">
        <f t="shared" si="50"/>
        <v>93.8</v>
      </c>
      <c r="AB22" s="182">
        <f t="shared" si="50"/>
        <v>107.6</v>
      </c>
      <c r="AD22" s="40">
        <f t="shared" si="43"/>
        <v>78.166666666666671</v>
      </c>
      <c r="AE22" s="40">
        <f t="shared" si="43"/>
        <v>89.666666666666671</v>
      </c>
      <c r="AG22" s="40">
        <f t="shared" si="51"/>
        <v>4.0000000000006253E-2</v>
      </c>
      <c r="AH22" s="40">
        <f t="shared" si="51"/>
        <v>9.0000000000003411E-2</v>
      </c>
      <c r="AJ22" s="40">
        <f t="shared" si="44"/>
        <v>4.6900000000000004</v>
      </c>
      <c r="AK22" s="40">
        <f t="shared" si="44"/>
        <v>5.38</v>
      </c>
      <c r="AL22" s="40"/>
      <c r="AM22" s="180">
        <f t="shared" si="52"/>
        <v>31.239999999999995</v>
      </c>
      <c r="AN22" s="180">
        <f t="shared" si="53"/>
        <v>35.805999999999997</v>
      </c>
      <c r="AP22" s="76">
        <f t="shared" si="45"/>
        <v>0.1</v>
      </c>
      <c r="AQ22" s="76">
        <f t="shared" si="45"/>
        <v>9.9999999999999964E-2</v>
      </c>
      <c r="AS22" s="76">
        <f t="shared" si="46"/>
        <v>0.3994884910485933</v>
      </c>
      <c r="AT22" s="76">
        <f t="shared" si="46"/>
        <v>0.3989971027412525</v>
      </c>
      <c r="AV22" s="76">
        <f t="shared" si="47"/>
        <v>0.5</v>
      </c>
      <c r="AW22" s="76">
        <f t="shared" si="47"/>
        <v>0.5</v>
      </c>
      <c r="AX22" s="42"/>
      <c r="AY22" s="42">
        <f t="shared" si="48"/>
        <v>39.059999999999995</v>
      </c>
      <c r="AZ22" s="42">
        <f t="shared" si="48"/>
        <v>44.779999999999994</v>
      </c>
      <c r="BA22" s="42"/>
      <c r="BB22" s="76">
        <f t="shared" si="49"/>
        <v>0.49948849104859327</v>
      </c>
      <c r="BC22" s="76">
        <f t="shared" si="49"/>
        <v>0.49899710274125247</v>
      </c>
    </row>
    <row r="23" spans="2:55" x14ac:dyDescent="0.25">
      <c r="B23" s="25" t="s">
        <v>26</v>
      </c>
      <c r="C23" s="149">
        <f>ROUND('ST Standard from 24 Feb 26'!C23+$B$80,2)</f>
        <v>47.8</v>
      </c>
      <c r="D23" s="149">
        <f>ROUND('ST Standard from 24 Feb 26'!D23+$B$80,2)</f>
        <v>54.86</v>
      </c>
      <c r="E23" s="41"/>
      <c r="F23" s="41">
        <f t="shared" si="36"/>
        <v>57.359999999999992</v>
      </c>
      <c r="G23" s="41">
        <f t="shared" si="36"/>
        <v>65.831999999999994</v>
      </c>
      <c r="H23" s="82"/>
      <c r="I23" s="41">
        <f t="shared" si="37"/>
        <v>9.5599999999999952</v>
      </c>
      <c r="J23" s="41">
        <f t="shared" si="37"/>
        <v>10.971999999999994</v>
      </c>
      <c r="K23" s="82"/>
      <c r="L23" s="41">
        <f t="shared" si="38"/>
        <v>63.096000000000004</v>
      </c>
      <c r="M23" s="41">
        <f t="shared" si="38"/>
        <v>72.413000000000011</v>
      </c>
      <c r="N23" s="82"/>
      <c r="O23" s="41">
        <f t="shared" si="39"/>
        <v>15.296000000000006</v>
      </c>
      <c r="P23" s="41">
        <f t="shared" si="39"/>
        <v>17.553000000000011</v>
      </c>
      <c r="Q23" s="82"/>
      <c r="R23" s="76">
        <f t="shared" si="40"/>
        <v>0.10006973500697351</v>
      </c>
      <c r="S23" s="76">
        <f t="shared" si="40"/>
        <v>9.9951391420585747E-2</v>
      </c>
      <c r="T23" s="82"/>
      <c r="U23" s="41">
        <f t="shared" si="41"/>
        <v>95.6</v>
      </c>
      <c r="V23" s="41">
        <f t="shared" si="41"/>
        <v>109.72</v>
      </c>
      <c r="W23" s="82"/>
      <c r="X23" s="41">
        <f t="shared" si="42"/>
        <v>114.72</v>
      </c>
      <c r="Y23" s="41">
        <f t="shared" si="42"/>
        <v>131.66</v>
      </c>
      <c r="AA23" s="182">
        <f t="shared" si="50"/>
        <v>114.7</v>
      </c>
      <c r="AB23" s="182">
        <f t="shared" si="50"/>
        <v>131.6</v>
      </c>
      <c r="AD23" s="40">
        <f t="shared" si="43"/>
        <v>95.583333333333343</v>
      </c>
      <c r="AE23" s="40">
        <f t="shared" si="43"/>
        <v>109.66666666666667</v>
      </c>
      <c r="AG23" s="40">
        <f t="shared" si="51"/>
        <v>1.9999999999996021E-2</v>
      </c>
      <c r="AH23" s="40">
        <f t="shared" si="51"/>
        <v>6.0000000000002274E-2</v>
      </c>
      <c r="AJ23" s="40">
        <f t="shared" si="44"/>
        <v>5.74</v>
      </c>
      <c r="AK23" s="40">
        <f t="shared" si="44"/>
        <v>6.58</v>
      </c>
      <c r="AL23" s="40"/>
      <c r="AM23" s="180">
        <f t="shared" si="52"/>
        <v>38.220000000000006</v>
      </c>
      <c r="AN23" s="180">
        <f t="shared" si="53"/>
        <v>43.828000000000003</v>
      </c>
      <c r="AP23" s="76">
        <f t="shared" si="45"/>
        <v>9.999999999999995E-2</v>
      </c>
      <c r="AQ23" s="76">
        <f t="shared" si="45"/>
        <v>9.999999999999995E-2</v>
      </c>
      <c r="AS23" s="76">
        <f t="shared" si="46"/>
        <v>0.3997907949790796</v>
      </c>
      <c r="AT23" s="76">
        <f t="shared" si="46"/>
        <v>0.39945315348158955</v>
      </c>
      <c r="AV23" s="76">
        <f t="shared" si="47"/>
        <v>0.5</v>
      </c>
      <c r="AW23" s="76">
        <f t="shared" si="47"/>
        <v>0.5</v>
      </c>
      <c r="AX23" s="42"/>
      <c r="AY23" s="42">
        <f t="shared" si="48"/>
        <v>47.78</v>
      </c>
      <c r="AZ23" s="42">
        <f t="shared" si="48"/>
        <v>54.8</v>
      </c>
      <c r="BA23" s="42"/>
      <c r="BB23" s="76">
        <f t="shared" si="49"/>
        <v>0.49979079497907952</v>
      </c>
      <c r="BC23" s="76">
        <f t="shared" si="49"/>
        <v>0.49945315348158947</v>
      </c>
    </row>
    <row r="24" spans="2:55" x14ac:dyDescent="0.25">
      <c r="B24" s="25" t="s">
        <v>27</v>
      </c>
      <c r="C24" s="149">
        <f>ROUND('ST Standard from 24 Feb 26'!C24+$B$80,2)</f>
        <v>53.46</v>
      </c>
      <c r="D24" s="149">
        <f>ROUND('ST Standard from 24 Feb 26'!D24+$B$80,2)</f>
        <v>60.34</v>
      </c>
      <c r="E24" s="41"/>
      <c r="F24" s="41">
        <f t="shared" si="36"/>
        <v>64.152000000000001</v>
      </c>
      <c r="G24" s="41">
        <f t="shared" si="36"/>
        <v>72.408000000000001</v>
      </c>
      <c r="H24" s="82"/>
      <c r="I24" s="41">
        <f t="shared" si="37"/>
        <v>10.692</v>
      </c>
      <c r="J24" s="41">
        <f t="shared" si="37"/>
        <v>12.067999999999998</v>
      </c>
      <c r="K24" s="82"/>
      <c r="L24" s="41">
        <f t="shared" si="38"/>
        <v>70.565000000000012</v>
      </c>
      <c r="M24" s="41">
        <f t="shared" si="38"/>
        <v>79.650999999999996</v>
      </c>
      <c r="N24" s="82"/>
      <c r="O24" s="41">
        <f t="shared" si="39"/>
        <v>17.105000000000011</v>
      </c>
      <c r="P24" s="41">
        <f t="shared" si="39"/>
        <v>19.310999999999993</v>
      </c>
      <c r="Q24" s="82"/>
      <c r="R24" s="76">
        <f t="shared" si="40"/>
        <v>0.10007482229704452</v>
      </c>
      <c r="S24" s="76">
        <f t="shared" si="40"/>
        <v>9.9988951497072154E-2</v>
      </c>
      <c r="T24" s="82"/>
      <c r="U24" s="41">
        <f t="shared" si="41"/>
        <v>106.92</v>
      </c>
      <c r="V24" s="41">
        <f t="shared" si="41"/>
        <v>120.68</v>
      </c>
      <c r="W24" s="82"/>
      <c r="X24" s="41">
        <f t="shared" si="42"/>
        <v>128.30000000000001</v>
      </c>
      <c r="Y24" s="41">
        <f t="shared" si="42"/>
        <v>144.82</v>
      </c>
      <c r="AA24" s="182">
        <f t="shared" si="50"/>
        <v>128.30000000000001</v>
      </c>
      <c r="AB24" s="182">
        <f t="shared" si="50"/>
        <v>144.80000000000001</v>
      </c>
      <c r="AD24" s="40">
        <f t="shared" si="43"/>
        <v>106.91666666666669</v>
      </c>
      <c r="AE24" s="40">
        <f t="shared" si="43"/>
        <v>120.66666666666669</v>
      </c>
      <c r="AG24" s="40">
        <f t="shared" si="51"/>
        <v>0</v>
      </c>
      <c r="AH24" s="40">
        <f t="shared" si="51"/>
        <v>1.999999999998181E-2</v>
      </c>
      <c r="AJ24" s="40">
        <f t="shared" si="44"/>
        <v>6.42</v>
      </c>
      <c r="AK24" s="40">
        <f t="shared" si="44"/>
        <v>7.24</v>
      </c>
      <c r="AL24" s="40"/>
      <c r="AM24" s="180">
        <f t="shared" si="52"/>
        <v>42.768000000000001</v>
      </c>
      <c r="AN24" s="180">
        <f t="shared" si="53"/>
        <v>48.252000000000024</v>
      </c>
      <c r="AP24" s="76">
        <f t="shared" si="45"/>
        <v>0.1</v>
      </c>
      <c r="AQ24" s="76">
        <f t="shared" si="45"/>
        <v>9.9999999999999978E-2</v>
      </c>
      <c r="AS24" s="76">
        <f t="shared" si="46"/>
        <v>0.4</v>
      </c>
      <c r="AT24" s="76">
        <f t="shared" si="46"/>
        <v>0.39983427245608238</v>
      </c>
      <c r="AV24" s="76">
        <f t="shared" si="47"/>
        <v>0.5</v>
      </c>
      <c r="AW24" s="76">
        <f t="shared" si="47"/>
        <v>0.5</v>
      </c>
      <c r="AX24" s="42"/>
      <c r="AY24" s="42">
        <f t="shared" si="48"/>
        <v>53.46</v>
      </c>
      <c r="AZ24" s="42">
        <f t="shared" si="48"/>
        <v>60.320000000000022</v>
      </c>
      <c r="BA24" s="42"/>
      <c r="BB24" s="76">
        <f t="shared" si="49"/>
        <v>0.5</v>
      </c>
      <c r="BC24" s="76">
        <f t="shared" si="49"/>
        <v>0.49983427245608236</v>
      </c>
    </row>
    <row r="25" spans="2:55" x14ac:dyDescent="0.25">
      <c r="B25" s="25" t="s">
        <v>29</v>
      </c>
      <c r="C25" s="149">
        <f>ROUND('ST Standard from 24 Feb 26'!C25,2)</f>
        <v>7.26</v>
      </c>
      <c r="D25" s="149">
        <f>ROUND('ST Standard from 24 Feb 26'!D25,2)</f>
        <v>7.94</v>
      </c>
      <c r="E25" s="41"/>
      <c r="F25" s="41">
        <f t="shared" si="36"/>
        <v>8.7119999999999997</v>
      </c>
      <c r="G25" s="41">
        <f t="shared" si="36"/>
        <v>9.5280000000000005</v>
      </c>
      <c r="H25" s="82"/>
      <c r="I25" s="41">
        <f t="shared" si="37"/>
        <v>1.452</v>
      </c>
      <c r="J25" s="41">
        <f t="shared" si="37"/>
        <v>1.5880000000000001</v>
      </c>
      <c r="K25" s="82"/>
      <c r="L25" s="41">
        <f t="shared" si="38"/>
        <v>9.5810000000000013</v>
      </c>
      <c r="M25" s="41">
        <f t="shared" si="38"/>
        <v>10.483000000000001</v>
      </c>
      <c r="N25" s="82"/>
      <c r="O25" s="41">
        <f t="shared" si="39"/>
        <v>2.3210000000000015</v>
      </c>
      <c r="P25" s="41">
        <f t="shared" si="39"/>
        <v>2.5430000000000001</v>
      </c>
      <c r="Q25" s="82"/>
      <c r="R25" s="76">
        <f t="shared" si="40"/>
        <v>9.986225895316804E-2</v>
      </c>
      <c r="S25" s="76">
        <f t="shared" si="40"/>
        <v>9.9706129303106628E-2</v>
      </c>
      <c r="T25" s="82"/>
      <c r="U25" s="41">
        <f t="shared" si="41"/>
        <v>14.52</v>
      </c>
      <c r="V25" s="41">
        <f t="shared" si="41"/>
        <v>15.88</v>
      </c>
      <c r="W25" s="82"/>
      <c r="X25" s="41">
        <f t="shared" si="42"/>
        <v>17.420000000000002</v>
      </c>
      <c r="Y25" s="41">
        <f t="shared" si="42"/>
        <v>19.059999999999999</v>
      </c>
      <c r="AA25" s="182">
        <f>ROUNDDOWN(C25/(1-$X$1)*1.2,1)</f>
        <v>17.399999999999999</v>
      </c>
      <c r="AB25" s="182">
        <f>ROUNDDOWN(D25/(1-$X$1)*1.2,1)</f>
        <v>19</v>
      </c>
      <c r="AD25" s="40">
        <f t="shared" si="43"/>
        <v>14.5</v>
      </c>
      <c r="AE25" s="40">
        <f t="shared" si="43"/>
        <v>15.833333333333334</v>
      </c>
      <c r="AG25" s="40">
        <f t="shared" si="51"/>
        <v>2.0000000000003126E-2</v>
      </c>
      <c r="AH25" s="40">
        <f t="shared" si="51"/>
        <v>5.9999999999998721E-2</v>
      </c>
      <c r="AJ25" s="40">
        <f t="shared" si="44"/>
        <v>0.87</v>
      </c>
      <c r="AK25" s="40">
        <f t="shared" si="44"/>
        <v>0.95</v>
      </c>
      <c r="AL25" s="40"/>
      <c r="AM25" s="180">
        <f t="shared" si="52"/>
        <v>5.7879999999999967</v>
      </c>
      <c r="AN25" s="180">
        <f t="shared" si="53"/>
        <v>6.2920000000000016</v>
      </c>
      <c r="AP25" s="76">
        <f t="shared" si="45"/>
        <v>0.1</v>
      </c>
      <c r="AQ25" s="76">
        <f t="shared" si="45"/>
        <v>0.1</v>
      </c>
      <c r="AS25" s="76">
        <f t="shared" si="46"/>
        <v>0.39862258953168023</v>
      </c>
      <c r="AT25" s="76">
        <f t="shared" si="46"/>
        <v>0.39622166246851392</v>
      </c>
      <c r="AV25" s="76">
        <f t="shared" si="47"/>
        <v>0.5</v>
      </c>
      <c r="AW25" s="76">
        <f t="shared" si="47"/>
        <v>0.5</v>
      </c>
      <c r="AX25" s="42"/>
      <c r="AY25" s="42">
        <f t="shared" si="48"/>
        <v>7.2399999999999967</v>
      </c>
      <c r="AZ25" s="42">
        <f t="shared" si="48"/>
        <v>7.8800000000000017</v>
      </c>
      <c r="BA25" s="42"/>
      <c r="BB25" s="76">
        <f t="shared" si="49"/>
        <v>0.4986225895316802</v>
      </c>
      <c r="BC25" s="76">
        <f t="shared" si="49"/>
        <v>0.49622166246851396</v>
      </c>
    </row>
    <row r="26" spans="2:55" x14ac:dyDescent="0.25">
      <c r="B26" s="25"/>
      <c r="C26" s="41"/>
      <c r="D26" s="41"/>
      <c r="E26" s="41"/>
      <c r="F26" s="41"/>
      <c r="G26" s="41"/>
      <c r="H26" s="82"/>
      <c r="I26" s="82"/>
      <c r="J26" s="82"/>
      <c r="K26" s="82"/>
      <c r="L26" s="41"/>
      <c r="M26" s="41"/>
      <c r="N26" s="4"/>
      <c r="O26" s="4"/>
      <c r="P26" s="4"/>
      <c r="Q26" s="4"/>
      <c r="R26" s="78"/>
      <c r="T26" s="4"/>
      <c r="U26" s="4"/>
      <c r="V26" s="4"/>
      <c r="W26" s="4"/>
      <c r="AJ26" s="40"/>
      <c r="AK26" s="40"/>
      <c r="AL26" s="40"/>
      <c r="AM26" s="102"/>
      <c r="AN26" s="102"/>
      <c r="AS26" s="76"/>
      <c r="AT26" s="76"/>
      <c r="AV26" s="40"/>
      <c r="AW26" s="40"/>
      <c r="BB26" s="77"/>
      <c r="BC26" s="77"/>
    </row>
    <row r="27" spans="2:55" x14ac:dyDescent="0.25">
      <c r="B27" s="32" t="s">
        <v>32</v>
      </c>
      <c r="C27" s="41"/>
      <c r="D27" s="41"/>
      <c r="E27" s="41"/>
      <c r="F27" s="41"/>
      <c r="G27" s="41"/>
      <c r="H27" s="82"/>
      <c r="I27" s="82"/>
      <c r="J27" s="82"/>
      <c r="K27" s="82"/>
      <c r="L27" s="41"/>
      <c r="M27" s="41"/>
      <c r="N27" s="4"/>
      <c r="O27" s="4"/>
      <c r="P27" s="4"/>
      <c r="Q27" s="4"/>
      <c r="R27" s="78"/>
      <c r="T27" s="4"/>
      <c r="U27" s="4"/>
      <c r="V27" s="4"/>
      <c r="W27" s="4"/>
      <c r="AJ27" s="40"/>
      <c r="AK27" s="40"/>
      <c r="AL27" s="40"/>
      <c r="AS27" s="103"/>
      <c r="AT27" s="103"/>
      <c r="AV27" s="40"/>
      <c r="AW27" s="40"/>
      <c r="BB27" s="77"/>
      <c r="BC27" s="77"/>
    </row>
    <row r="28" spans="2:55" x14ac:dyDescent="0.25">
      <c r="B28" s="25" t="s">
        <v>23</v>
      </c>
      <c r="C28" s="149">
        <f>ROUND('ST Standard from 24 Feb 26'!C28+$B$80,2)</f>
        <v>31.07</v>
      </c>
      <c r="D28" s="149">
        <f>ROUND('ST Standard from 24 Feb 26'!D28+$B$80,2)</f>
        <v>36.619999999999997</v>
      </c>
      <c r="E28" s="41"/>
      <c r="F28" s="41">
        <f t="shared" ref="F28:G33" si="54">C28*SUM(1+$G$1/$X$1)</f>
        <v>37.283999999999999</v>
      </c>
      <c r="G28" s="41">
        <f t="shared" si="54"/>
        <v>43.943999999999996</v>
      </c>
      <c r="H28" s="82"/>
      <c r="I28" s="41">
        <f t="shared" ref="I28:J33" si="55">F28-C28</f>
        <v>6.2139999999999986</v>
      </c>
      <c r="J28" s="41">
        <f t="shared" si="55"/>
        <v>7.3239999999999981</v>
      </c>
      <c r="K28" s="82"/>
      <c r="L28" s="41">
        <f t="shared" ref="L28:M33" si="56">ROUND(C28*(1+$G$1*2),2)*SUM(1+$M$1)</f>
        <v>41.008000000000003</v>
      </c>
      <c r="M28" s="41">
        <f t="shared" si="56"/>
        <v>48.334000000000003</v>
      </c>
      <c r="N28" s="82"/>
      <c r="O28" s="41">
        <f t="shared" ref="O28:P32" si="57">L28-C28</f>
        <v>9.9380000000000024</v>
      </c>
      <c r="P28" s="41">
        <f t="shared" si="57"/>
        <v>11.714000000000006</v>
      </c>
      <c r="Q28" s="82"/>
      <c r="R28" s="76">
        <f t="shared" ref="R28:S33" si="58">AJ28/F28</f>
        <v>0.10004291385044524</v>
      </c>
      <c r="S28" s="76">
        <f t="shared" si="58"/>
        <v>9.9899872565082842E-2</v>
      </c>
      <c r="T28" s="82"/>
      <c r="U28" s="41">
        <f t="shared" ref="U28:V33" si="59">SUM(C28/(1-$X$1))</f>
        <v>62.14</v>
      </c>
      <c r="V28" s="41">
        <f t="shared" si="59"/>
        <v>73.239999999999995</v>
      </c>
      <c r="W28" s="82"/>
      <c r="X28" s="41">
        <f t="shared" ref="X28:Y33" si="60">ROUND(C28/(1-$X$1)*1.2,2)</f>
        <v>74.569999999999993</v>
      </c>
      <c r="Y28" s="41">
        <f t="shared" si="60"/>
        <v>87.89</v>
      </c>
      <c r="AA28" s="182">
        <f>ROUNDDOWN(C28/(1-$X$1)*1.2,1)</f>
        <v>74.5</v>
      </c>
      <c r="AB28" s="182">
        <f>ROUNDDOWN(D28/(1-$X$1)*1.2,1)</f>
        <v>87.8</v>
      </c>
      <c r="AD28" s="40">
        <f t="shared" ref="AD28:AE33" si="61">AA28/1.2</f>
        <v>62.083333333333336</v>
      </c>
      <c r="AE28" s="40">
        <f t="shared" si="61"/>
        <v>73.166666666666671</v>
      </c>
      <c r="AG28" s="40">
        <f>X28-AA28</f>
        <v>6.9999999999993179E-2</v>
      </c>
      <c r="AH28" s="40">
        <f>Y28-AB28</f>
        <v>9.0000000000003411E-2</v>
      </c>
      <c r="AJ28" s="40">
        <f t="shared" ref="AJ28:AK33" si="62">ROUND(L28*(1-(1/(1+$AL$1))),2)</f>
        <v>3.73</v>
      </c>
      <c r="AK28" s="40">
        <f t="shared" si="62"/>
        <v>4.3899999999999997</v>
      </c>
      <c r="AL28" s="40"/>
      <c r="AM28" s="180">
        <f>SUM(U28-F28)-AG28</f>
        <v>24.786000000000008</v>
      </c>
      <c r="AN28" s="180">
        <f>SUM(V28-G28)-AH28</f>
        <v>29.205999999999996</v>
      </c>
      <c r="AP28" s="76">
        <f t="shared" ref="AP28:AQ33" si="63">(SUM(F28-C28)/C28)*$X$1</f>
        <v>9.9999999999999978E-2</v>
      </c>
      <c r="AQ28" s="76">
        <f t="shared" si="63"/>
        <v>9.9999999999999978E-2</v>
      </c>
      <c r="AS28" s="76">
        <f t="shared" ref="AS28:AT33" si="64">AM28/U28</f>
        <v>0.39887351142581279</v>
      </c>
      <c r="AT28" s="76">
        <f t="shared" si="64"/>
        <v>0.39877116329874385</v>
      </c>
      <c r="AV28" s="76">
        <f t="shared" ref="AV28:AW33" si="65">C28/U28</f>
        <v>0.5</v>
      </c>
      <c r="AW28" s="76">
        <f t="shared" si="65"/>
        <v>0.5</v>
      </c>
      <c r="AX28" s="42"/>
      <c r="AY28" s="42">
        <f t="shared" ref="AY28:AZ33" si="66">I28+AM28</f>
        <v>31.000000000000007</v>
      </c>
      <c r="AZ28" s="42">
        <f t="shared" si="66"/>
        <v>36.529999999999994</v>
      </c>
      <c r="BA28" s="42"/>
      <c r="BB28" s="76">
        <f t="shared" ref="BB28:BC33" si="67">AY28/(C28/$X$1)</f>
        <v>0.49887351142581277</v>
      </c>
      <c r="BC28" s="76">
        <f t="shared" si="67"/>
        <v>0.49877116329874382</v>
      </c>
    </row>
    <row r="29" spans="2:55" x14ac:dyDescent="0.25">
      <c r="B29" s="25" t="s">
        <v>24</v>
      </c>
      <c r="C29" s="149">
        <f>ROUND('ST Standard from 24 Feb 26'!C29+$B$80,2)</f>
        <v>37.159999999999997</v>
      </c>
      <c r="D29" s="149">
        <f>ROUND('ST Standard from 24 Feb 26'!D29+$B$80,2)</f>
        <v>43.62</v>
      </c>
      <c r="E29" s="41"/>
      <c r="F29" s="41">
        <f t="shared" si="54"/>
        <v>44.591999999999992</v>
      </c>
      <c r="G29" s="41">
        <f t="shared" si="54"/>
        <v>52.343999999999994</v>
      </c>
      <c r="H29" s="82"/>
      <c r="I29" s="41">
        <f t="shared" si="55"/>
        <v>7.4319999999999951</v>
      </c>
      <c r="J29" s="41">
        <f t="shared" si="55"/>
        <v>8.7239999999999966</v>
      </c>
      <c r="K29" s="82"/>
      <c r="L29" s="41">
        <f t="shared" si="56"/>
        <v>49.049000000000007</v>
      </c>
      <c r="M29" s="41">
        <f t="shared" si="56"/>
        <v>57.574000000000005</v>
      </c>
      <c r="N29" s="82"/>
      <c r="O29" s="41">
        <f t="shared" si="57"/>
        <v>11.88900000000001</v>
      </c>
      <c r="P29" s="41">
        <f t="shared" si="57"/>
        <v>13.954000000000008</v>
      </c>
      <c r="Q29" s="82"/>
      <c r="R29" s="76">
        <f t="shared" si="58"/>
        <v>0.1000179404377467</v>
      </c>
      <c r="S29" s="76">
        <f t="shared" si="58"/>
        <v>9.9915940699984732E-2</v>
      </c>
      <c r="T29" s="82"/>
      <c r="U29" s="41">
        <f t="shared" si="59"/>
        <v>74.319999999999993</v>
      </c>
      <c r="V29" s="41">
        <f t="shared" si="59"/>
        <v>87.24</v>
      </c>
      <c r="W29" s="82"/>
      <c r="X29" s="41">
        <f t="shared" si="60"/>
        <v>89.18</v>
      </c>
      <c r="Y29" s="41">
        <f t="shared" si="60"/>
        <v>104.69</v>
      </c>
      <c r="AA29" s="182">
        <f t="shared" ref="AA29:AB32" si="68">ROUNDDOWN(C29/(1-$X$1)*1.2,1)</f>
        <v>89.1</v>
      </c>
      <c r="AB29" s="182">
        <f t="shared" si="68"/>
        <v>104.6</v>
      </c>
      <c r="AD29" s="40">
        <f t="shared" si="61"/>
        <v>74.25</v>
      </c>
      <c r="AE29" s="40">
        <f t="shared" si="61"/>
        <v>87.166666666666671</v>
      </c>
      <c r="AG29" s="40">
        <f t="shared" ref="AG29:AH33" si="69">X29-AA29</f>
        <v>8.0000000000012506E-2</v>
      </c>
      <c r="AH29" s="40">
        <f t="shared" si="69"/>
        <v>9.0000000000003411E-2</v>
      </c>
      <c r="AJ29" s="40">
        <f t="shared" si="62"/>
        <v>4.46</v>
      </c>
      <c r="AK29" s="40">
        <f t="shared" si="62"/>
        <v>5.23</v>
      </c>
      <c r="AL29" s="40"/>
      <c r="AM29" s="180">
        <f t="shared" ref="AM29:AM33" si="70">SUM(U29-F29)-AG29</f>
        <v>29.647999999999989</v>
      </c>
      <c r="AN29" s="180">
        <f t="shared" ref="AN29:AN33" si="71">SUM(V29-G29)-AH29</f>
        <v>34.805999999999997</v>
      </c>
      <c r="AP29" s="76">
        <f t="shared" si="63"/>
        <v>9.9999999999999936E-2</v>
      </c>
      <c r="AQ29" s="76">
        <f t="shared" si="63"/>
        <v>9.9999999999999964E-2</v>
      </c>
      <c r="AS29" s="76">
        <f t="shared" si="64"/>
        <v>0.39892357373519904</v>
      </c>
      <c r="AT29" s="76">
        <f t="shared" si="64"/>
        <v>0.39896836313617606</v>
      </c>
      <c r="AV29" s="76">
        <f t="shared" si="65"/>
        <v>0.5</v>
      </c>
      <c r="AW29" s="76">
        <f t="shared" si="65"/>
        <v>0.5</v>
      </c>
      <c r="AX29" s="42"/>
      <c r="AY29" s="42">
        <f t="shared" si="66"/>
        <v>37.079999999999984</v>
      </c>
      <c r="AZ29" s="42">
        <f t="shared" si="66"/>
        <v>43.529999999999994</v>
      </c>
      <c r="BA29" s="42"/>
      <c r="BB29" s="76">
        <f t="shared" si="67"/>
        <v>0.49892357373519897</v>
      </c>
      <c r="BC29" s="76">
        <f t="shared" si="67"/>
        <v>0.49896836313617604</v>
      </c>
    </row>
    <row r="30" spans="2:55" x14ac:dyDescent="0.25">
      <c r="B30" s="25" t="s">
        <v>25</v>
      </c>
      <c r="C30" s="149">
        <f>ROUND('ST Standard from 24 Feb 26'!C30+$B$80,2)</f>
        <v>45.37</v>
      </c>
      <c r="D30" s="149">
        <f>ROUND('ST Standard from 24 Feb 26'!D30+$B$80,2)</f>
        <v>50.19</v>
      </c>
      <c r="E30" s="41"/>
      <c r="F30" s="41">
        <f t="shared" si="54"/>
        <v>54.443999999999996</v>
      </c>
      <c r="G30" s="41">
        <f t="shared" si="54"/>
        <v>60.227999999999994</v>
      </c>
      <c r="H30" s="82"/>
      <c r="I30" s="41">
        <f t="shared" si="55"/>
        <v>9.0739999999999981</v>
      </c>
      <c r="J30" s="41">
        <f t="shared" si="55"/>
        <v>10.037999999999997</v>
      </c>
      <c r="K30" s="82"/>
      <c r="L30" s="41">
        <f t="shared" si="56"/>
        <v>59.884</v>
      </c>
      <c r="M30" s="41">
        <f t="shared" si="56"/>
        <v>66.253</v>
      </c>
      <c r="N30" s="82"/>
      <c r="O30" s="41">
        <f t="shared" si="57"/>
        <v>14.514000000000003</v>
      </c>
      <c r="P30" s="41">
        <f t="shared" si="57"/>
        <v>16.063000000000002</v>
      </c>
      <c r="Q30" s="82"/>
      <c r="R30" s="76">
        <f t="shared" si="58"/>
        <v>9.9919183013738908E-2</v>
      </c>
      <c r="S30" s="76">
        <f t="shared" si="58"/>
        <v>9.9953509995351006E-2</v>
      </c>
      <c r="T30" s="82"/>
      <c r="U30" s="41">
        <f t="shared" si="59"/>
        <v>90.74</v>
      </c>
      <c r="V30" s="41">
        <f t="shared" si="59"/>
        <v>100.38</v>
      </c>
      <c r="W30" s="82"/>
      <c r="X30" s="41">
        <f t="shared" si="60"/>
        <v>108.89</v>
      </c>
      <c r="Y30" s="41">
        <f t="shared" si="60"/>
        <v>120.46</v>
      </c>
      <c r="AA30" s="182">
        <f t="shared" si="68"/>
        <v>108.8</v>
      </c>
      <c r="AB30" s="182">
        <f t="shared" si="68"/>
        <v>120.4</v>
      </c>
      <c r="AD30" s="40">
        <f t="shared" si="61"/>
        <v>90.666666666666671</v>
      </c>
      <c r="AE30" s="40">
        <f t="shared" si="61"/>
        <v>100.33333333333334</v>
      </c>
      <c r="AG30" s="40">
        <f t="shared" si="69"/>
        <v>9.0000000000003411E-2</v>
      </c>
      <c r="AH30" s="40">
        <f t="shared" si="69"/>
        <v>5.9999999999988063E-2</v>
      </c>
      <c r="AJ30" s="40">
        <f t="shared" si="62"/>
        <v>5.44</v>
      </c>
      <c r="AK30" s="40">
        <f t="shared" si="62"/>
        <v>6.02</v>
      </c>
      <c r="AL30" s="40"/>
      <c r="AM30" s="180">
        <f t="shared" si="70"/>
        <v>36.205999999999996</v>
      </c>
      <c r="AN30" s="180">
        <f t="shared" si="71"/>
        <v>40.092000000000013</v>
      </c>
      <c r="AP30" s="76">
        <f t="shared" si="63"/>
        <v>9.9999999999999978E-2</v>
      </c>
      <c r="AQ30" s="76">
        <f t="shared" si="63"/>
        <v>9.9999999999999978E-2</v>
      </c>
      <c r="AS30" s="76">
        <f t="shared" si="64"/>
        <v>0.3990081551686136</v>
      </c>
      <c r="AT30" s="76">
        <f t="shared" si="64"/>
        <v>0.39940227136879869</v>
      </c>
      <c r="AV30" s="76">
        <f t="shared" si="65"/>
        <v>0.5</v>
      </c>
      <c r="AW30" s="76">
        <f t="shared" si="65"/>
        <v>0.5</v>
      </c>
      <c r="AX30" s="42"/>
      <c r="AY30" s="42">
        <f t="shared" si="66"/>
        <v>45.279999999999994</v>
      </c>
      <c r="AZ30" s="42">
        <f t="shared" si="66"/>
        <v>50.13000000000001</v>
      </c>
      <c r="BA30" s="42"/>
      <c r="BB30" s="76">
        <f t="shared" si="67"/>
        <v>0.49900815516861358</v>
      </c>
      <c r="BC30" s="76">
        <f t="shared" si="67"/>
        <v>0.49940227136879867</v>
      </c>
    </row>
    <row r="31" spans="2:55" x14ac:dyDescent="0.25">
      <c r="B31" s="25" t="s">
        <v>33</v>
      </c>
      <c r="C31" s="149">
        <f>ROUND('ST Standard from 24 Feb 26'!C31+$B$80,2)</f>
        <v>56.33</v>
      </c>
      <c r="D31" s="149">
        <f>ROUND('ST Standard from 24 Feb 26'!D31+$B$80,2)</f>
        <v>64.45</v>
      </c>
      <c r="E31" s="41"/>
      <c r="F31" s="41">
        <f t="shared" si="54"/>
        <v>67.595999999999989</v>
      </c>
      <c r="G31" s="41">
        <f t="shared" si="54"/>
        <v>77.34</v>
      </c>
      <c r="H31" s="82"/>
      <c r="I31" s="41">
        <f t="shared" si="55"/>
        <v>11.265999999999991</v>
      </c>
      <c r="J31" s="41">
        <f t="shared" si="55"/>
        <v>12.89</v>
      </c>
      <c r="K31" s="82"/>
      <c r="L31" s="41">
        <f t="shared" si="56"/>
        <v>74.36</v>
      </c>
      <c r="M31" s="41">
        <f t="shared" si="56"/>
        <v>85.074000000000012</v>
      </c>
      <c r="N31" s="82"/>
      <c r="O31" s="41">
        <f t="shared" si="57"/>
        <v>18.03</v>
      </c>
      <c r="P31" s="41">
        <f t="shared" si="57"/>
        <v>20.624000000000009</v>
      </c>
      <c r="Q31" s="82"/>
      <c r="R31" s="76">
        <f t="shared" si="58"/>
        <v>0.10000591750991183</v>
      </c>
      <c r="S31" s="76">
        <f t="shared" si="58"/>
        <v>9.9948280320662011E-2</v>
      </c>
      <c r="T31" s="82"/>
      <c r="U31" s="41">
        <f t="shared" si="59"/>
        <v>112.66</v>
      </c>
      <c r="V31" s="41">
        <f t="shared" si="59"/>
        <v>128.9</v>
      </c>
      <c r="W31" s="82"/>
      <c r="X31" s="41">
        <f t="shared" si="60"/>
        <v>135.19</v>
      </c>
      <c r="Y31" s="41">
        <f t="shared" si="60"/>
        <v>154.68</v>
      </c>
      <c r="AA31" s="182">
        <f t="shared" si="68"/>
        <v>135.1</v>
      </c>
      <c r="AB31" s="182">
        <f t="shared" si="68"/>
        <v>154.6</v>
      </c>
      <c r="AD31" s="40">
        <f t="shared" si="61"/>
        <v>112.58333333333333</v>
      </c>
      <c r="AE31" s="40">
        <f t="shared" si="61"/>
        <v>128.83333333333334</v>
      </c>
      <c r="AG31" s="40">
        <f t="shared" si="69"/>
        <v>9.0000000000003411E-2</v>
      </c>
      <c r="AH31" s="40">
        <f t="shared" si="69"/>
        <v>8.0000000000012506E-2</v>
      </c>
      <c r="AJ31" s="40">
        <f t="shared" si="62"/>
        <v>6.76</v>
      </c>
      <c r="AK31" s="40">
        <f t="shared" si="62"/>
        <v>7.73</v>
      </c>
      <c r="AL31" s="40"/>
      <c r="AM31" s="180">
        <f t="shared" si="70"/>
        <v>44.974000000000004</v>
      </c>
      <c r="AN31" s="180">
        <f t="shared" si="71"/>
        <v>51.47999999999999</v>
      </c>
      <c r="AP31" s="76">
        <f t="shared" si="63"/>
        <v>9.9999999999999922E-2</v>
      </c>
      <c r="AQ31" s="76">
        <f t="shared" si="63"/>
        <v>0.1</v>
      </c>
      <c r="AS31" s="76">
        <f t="shared" si="64"/>
        <v>0.39920113616190311</v>
      </c>
      <c r="AT31" s="76">
        <f t="shared" si="64"/>
        <v>0.39937936384794404</v>
      </c>
      <c r="AV31" s="76">
        <f t="shared" si="65"/>
        <v>0.5</v>
      </c>
      <c r="AW31" s="76">
        <f t="shared" si="65"/>
        <v>0.5</v>
      </c>
      <c r="AX31" s="42"/>
      <c r="AY31" s="42">
        <f t="shared" si="66"/>
        <v>56.239999999999995</v>
      </c>
      <c r="AZ31" s="42">
        <f t="shared" si="66"/>
        <v>64.36999999999999</v>
      </c>
      <c r="BA31" s="42"/>
      <c r="BB31" s="76">
        <f t="shared" si="67"/>
        <v>0.49920113616190304</v>
      </c>
      <c r="BC31" s="76">
        <f t="shared" si="67"/>
        <v>0.49937936384794407</v>
      </c>
    </row>
    <row r="32" spans="2:55" x14ac:dyDescent="0.25">
      <c r="B32" s="25" t="s">
        <v>27</v>
      </c>
      <c r="C32" s="149">
        <f>ROUND('ST Standard from 24 Feb 26'!C32+$B$80,2)</f>
        <v>61.91</v>
      </c>
      <c r="D32" s="149">
        <f>ROUND('ST Standard from 24 Feb 26'!D32+$B$80,2)</f>
        <v>69.59</v>
      </c>
      <c r="E32" s="41"/>
      <c r="F32" s="41">
        <f t="shared" si="54"/>
        <v>74.291999999999987</v>
      </c>
      <c r="G32" s="41">
        <f t="shared" si="54"/>
        <v>83.507999999999996</v>
      </c>
      <c r="H32" s="82"/>
      <c r="I32" s="41">
        <f t="shared" si="55"/>
        <v>12.381999999999991</v>
      </c>
      <c r="J32" s="41">
        <f t="shared" si="55"/>
        <v>13.917999999999992</v>
      </c>
      <c r="K32" s="82"/>
      <c r="L32" s="41">
        <f t="shared" si="56"/>
        <v>81.719000000000008</v>
      </c>
      <c r="M32" s="41">
        <f t="shared" si="56"/>
        <v>91.861000000000018</v>
      </c>
      <c r="N32" s="82"/>
      <c r="O32" s="41">
        <f t="shared" si="57"/>
        <v>19.809000000000012</v>
      </c>
      <c r="P32" s="41">
        <f t="shared" si="57"/>
        <v>22.271000000000015</v>
      </c>
      <c r="Q32" s="82"/>
      <c r="R32" s="76">
        <f t="shared" si="58"/>
        <v>0.10001076831960373</v>
      </c>
      <c r="S32" s="76">
        <f t="shared" si="58"/>
        <v>9.9990420079513337E-2</v>
      </c>
      <c r="T32" s="82"/>
      <c r="U32" s="41">
        <f t="shared" si="59"/>
        <v>123.82</v>
      </c>
      <c r="V32" s="41">
        <f t="shared" si="59"/>
        <v>139.18</v>
      </c>
      <c r="W32" s="82"/>
      <c r="X32" s="41">
        <f t="shared" si="60"/>
        <v>148.58000000000001</v>
      </c>
      <c r="Y32" s="41">
        <f t="shared" si="60"/>
        <v>167.02</v>
      </c>
      <c r="AA32" s="182">
        <f t="shared" si="68"/>
        <v>148.5</v>
      </c>
      <c r="AB32" s="182">
        <f t="shared" si="68"/>
        <v>167</v>
      </c>
      <c r="AD32" s="40">
        <f t="shared" si="61"/>
        <v>123.75</v>
      </c>
      <c r="AE32" s="40">
        <f t="shared" si="61"/>
        <v>139.16666666666669</v>
      </c>
      <c r="AG32" s="40">
        <f t="shared" si="69"/>
        <v>8.0000000000012506E-2</v>
      </c>
      <c r="AH32" s="40">
        <f t="shared" si="69"/>
        <v>2.0000000000010232E-2</v>
      </c>
      <c r="AJ32" s="40">
        <f t="shared" si="62"/>
        <v>7.43</v>
      </c>
      <c r="AK32" s="40">
        <f t="shared" si="62"/>
        <v>8.35</v>
      </c>
      <c r="AL32" s="40"/>
      <c r="AM32" s="180">
        <f t="shared" si="70"/>
        <v>49.447999999999993</v>
      </c>
      <c r="AN32" s="180">
        <f t="shared" si="71"/>
        <v>55.652000000000001</v>
      </c>
      <c r="AP32" s="76">
        <f t="shared" si="63"/>
        <v>9.9999999999999936E-2</v>
      </c>
      <c r="AQ32" s="76">
        <f t="shared" si="63"/>
        <v>9.9999999999999936E-2</v>
      </c>
      <c r="AS32" s="76">
        <f t="shared" si="64"/>
        <v>0.39935390082377642</v>
      </c>
      <c r="AT32" s="76">
        <f t="shared" si="64"/>
        <v>0.3998563011927001</v>
      </c>
      <c r="AV32" s="76">
        <f t="shared" si="65"/>
        <v>0.5</v>
      </c>
      <c r="AW32" s="76">
        <f t="shared" si="65"/>
        <v>0.5</v>
      </c>
      <c r="AX32" s="42"/>
      <c r="AY32" s="42">
        <f t="shared" si="66"/>
        <v>61.829999999999984</v>
      </c>
      <c r="AZ32" s="42">
        <f t="shared" si="66"/>
        <v>69.569999999999993</v>
      </c>
      <c r="BA32" s="42"/>
      <c r="BB32" s="76">
        <f t="shared" si="67"/>
        <v>0.49935390082377634</v>
      </c>
      <c r="BC32" s="76">
        <f t="shared" si="67"/>
        <v>0.49985630119270003</v>
      </c>
    </row>
    <row r="33" spans="1:55" x14ac:dyDescent="0.25">
      <c r="B33" s="25" t="s">
        <v>29</v>
      </c>
      <c r="C33" s="149">
        <f>ROUND('ST Standard from 24 Feb 26'!C33,2)</f>
        <v>9.8000000000000007</v>
      </c>
      <c r="D33" s="149">
        <f>ROUND('ST Standard from 24 Feb 26'!D33,2)</f>
        <v>10.61</v>
      </c>
      <c r="E33" s="41"/>
      <c r="F33" s="41">
        <f t="shared" si="54"/>
        <v>11.76</v>
      </c>
      <c r="G33" s="41">
        <f t="shared" si="54"/>
        <v>12.731999999999999</v>
      </c>
      <c r="H33" s="82"/>
      <c r="I33" s="41">
        <f t="shared" si="55"/>
        <v>1.9599999999999991</v>
      </c>
      <c r="J33" s="41">
        <f t="shared" si="55"/>
        <v>2.1219999999999999</v>
      </c>
      <c r="K33" s="82"/>
      <c r="L33" s="41">
        <f t="shared" si="56"/>
        <v>12.936</v>
      </c>
      <c r="M33" s="41">
        <f t="shared" si="56"/>
        <v>14.003000000000002</v>
      </c>
      <c r="N33" s="82"/>
      <c r="O33" s="41">
        <f>L33-C33</f>
        <v>3.1359999999999992</v>
      </c>
      <c r="P33" s="41">
        <f>M33-D33</f>
        <v>3.3930000000000025</v>
      </c>
      <c r="Q33" s="82"/>
      <c r="R33" s="76">
        <f t="shared" si="58"/>
        <v>0.10034013605442177</v>
      </c>
      <c r="S33" s="76">
        <f t="shared" si="58"/>
        <v>9.9748664781652535E-2</v>
      </c>
      <c r="T33" s="82"/>
      <c r="U33" s="41">
        <f t="shared" si="59"/>
        <v>19.600000000000001</v>
      </c>
      <c r="V33" s="41">
        <f t="shared" si="59"/>
        <v>21.22</v>
      </c>
      <c r="W33" s="82"/>
      <c r="X33" s="41">
        <f t="shared" si="60"/>
        <v>23.52</v>
      </c>
      <c r="Y33" s="41">
        <f t="shared" si="60"/>
        <v>25.46</v>
      </c>
      <c r="AA33" s="182">
        <f>ROUNDDOWN(C33/(1-$X$1)*1.2,1)</f>
        <v>23.5</v>
      </c>
      <c r="AB33" s="182">
        <f>ROUNDDOWN(D33/(1-$X$1)*1.2,1)</f>
        <v>25.4</v>
      </c>
      <c r="AD33" s="40">
        <f t="shared" si="61"/>
        <v>19.583333333333336</v>
      </c>
      <c r="AE33" s="40">
        <f t="shared" si="61"/>
        <v>21.166666666666668</v>
      </c>
      <c r="AG33" s="40">
        <f t="shared" si="69"/>
        <v>1.9999999999999574E-2</v>
      </c>
      <c r="AH33" s="40">
        <f t="shared" si="69"/>
        <v>6.0000000000002274E-2</v>
      </c>
      <c r="AJ33" s="40">
        <f t="shared" si="62"/>
        <v>1.18</v>
      </c>
      <c r="AK33" s="40">
        <f t="shared" si="62"/>
        <v>1.27</v>
      </c>
      <c r="AL33" s="40"/>
      <c r="AM33" s="180">
        <f t="shared" si="70"/>
        <v>7.8200000000000021</v>
      </c>
      <c r="AN33" s="180">
        <f t="shared" si="71"/>
        <v>8.4279999999999973</v>
      </c>
      <c r="AP33" s="76">
        <f t="shared" si="63"/>
        <v>9.999999999999995E-2</v>
      </c>
      <c r="AQ33" s="76">
        <f t="shared" si="63"/>
        <v>0.1</v>
      </c>
      <c r="AS33" s="76">
        <f t="shared" si="64"/>
        <v>0.39897959183673476</v>
      </c>
      <c r="AT33" s="76">
        <f t="shared" si="64"/>
        <v>0.39717247879359086</v>
      </c>
      <c r="AV33" s="76">
        <f t="shared" si="65"/>
        <v>0.5</v>
      </c>
      <c r="AW33" s="76">
        <f t="shared" si="65"/>
        <v>0.5</v>
      </c>
      <c r="AX33" s="42"/>
      <c r="AY33" s="42">
        <f t="shared" si="66"/>
        <v>9.7800000000000011</v>
      </c>
      <c r="AZ33" s="42">
        <f t="shared" si="66"/>
        <v>10.549999999999997</v>
      </c>
      <c r="BA33" s="42"/>
      <c r="BB33" s="76">
        <f t="shared" si="67"/>
        <v>0.49897959183673474</v>
      </c>
      <c r="BC33" s="76">
        <f t="shared" si="67"/>
        <v>0.49717247879359083</v>
      </c>
    </row>
    <row r="34" spans="1:55" x14ac:dyDescent="0.25">
      <c r="C34" s="39"/>
      <c r="D34" s="39"/>
      <c r="E34" s="39"/>
      <c r="F34" s="39"/>
      <c r="L34" s="41"/>
      <c r="M34" s="39"/>
      <c r="U34" s="41"/>
      <c r="V34" s="41"/>
      <c r="W34" s="39"/>
      <c r="AK34" s="76"/>
      <c r="AL34" s="76"/>
      <c r="AM34" s="76"/>
    </row>
    <row r="35" spans="1:55" x14ac:dyDescent="0.25">
      <c r="A35" s="4" t="s">
        <v>34</v>
      </c>
      <c r="C35" s="40"/>
      <c r="D35" s="40"/>
      <c r="E35" s="40"/>
      <c r="F35" s="40"/>
      <c r="L35" s="40"/>
      <c r="M35" s="40"/>
      <c r="AK35" s="76"/>
      <c r="AL35" s="76"/>
      <c r="AM35" s="76"/>
    </row>
    <row r="36" spans="1:55" x14ac:dyDescent="0.25">
      <c r="C36" s="40"/>
      <c r="D36" s="40"/>
      <c r="E36" s="40"/>
      <c r="F36" s="40"/>
      <c r="M36" s="40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K36" s="76"/>
      <c r="AL36" s="76"/>
      <c r="AM36" s="76"/>
    </row>
    <row r="37" spans="1:55" x14ac:dyDescent="0.25">
      <c r="A37" s="25" t="s">
        <v>35</v>
      </c>
      <c r="B37" s="1" t="s">
        <v>36</v>
      </c>
      <c r="D37" s="40"/>
      <c r="E37" s="40"/>
      <c r="F37" s="40"/>
      <c r="G37" s="40"/>
      <c r="H37" s="40"/>
      <c r="I37" s="40"/>
      <c r="J37" s="40"/>
      <c r="K37" s="40"/>
      <c r="N37" s="40"/>
      <c r="O37" s="40"/>
      <c r="P37" s="40"/>
      <c r="Q37" s="40"/>
      <c r="R37" s="40"/>
      <c r="S37" s="40"/>
      <c r="T37" s="40"/>
      <c r="AK37" s="76"/>
      <c r="AL37" s="76"/>
      <c r="AM37" s="76"/>
    </row>
    <row r="38" spans="1:55" x14ac:dyDescent="0.25">
      <c r="A38" s="25" t="s">
        <v>37</v>
      </c>
      <c r="B38" s="1" t="s">
        <v>38</v>
      </c>
      <c r="D38" s="40"/>
      <c r="E38" s="40"/>
      <c r="F38" s="40"/>
      <c r="N38" s="40"/>
      <c r="O38" s="40"/>
      <c r="P38" s="40"/>
      <c r="Q38" s="40"/>
      <c r="R38" s="40"/>
      <c r="S38" s="40"/>
      <c r="T38" s="40"/>
      <c r="AK38" s="76"/>
      <c r="AL38" s="76"/>
      <c r="AM38" s="76"/>
    </row>
    <row r="39" spans="1:55" x14ac:dyDescent="0.25">
      <c r="A39" s="25" t="s">
        <v>39</v>
      </c>
      <c r="B39" s="1" t="s">
        <v>40</v>
      </c>
      <c r="D39" s="40"/>
      <c r="E39" s="40"/>
      <c r="F39" s="40"/>
      <c r="AK39" s="76"/>
      <c r="AL39" s="76"/>
      <c r="AM39" s="76"/>
    </row>
    <row r="40" spans="1:55" x14ac:dyDescent="0.25">
      <c r="A40" s="25" t="s">
        <v>41</v>
      </c>
      <c r="B40" s="1" t="s">
        <v>42</v>
      </c>
      <c r="D40" s="40"/>
      <c r="E40" s="40"/>
      <c r="F40" s="40"/>
      <c r="AK40" s="76"/>
      <c r="AL40" s="76"/>
      <c r="AM40" s="76"/>
    </row>
    <row r="41" spans="1:55" x14ac:dyDescent="0.25">
      <c r="A41" s="25" t="s">
        <v>43</v>
      </c>
      <c r="B41" s="1" t="s">
        <v>44</v>
      </c>
      <c r="D41" s="40"/>
      <c r="E41" s="40"/>
      <c r="F41" s="40"/>
      <c r="AK41" s="76"/>
      <c r="AL41" s="76"/>
      <c r="AM41" s="76"/>
    </row>
    <row r="42" spans="1:55" x14ac:dyDescent="0.25">
      <c r="A42" s="25" t="s">
        <v>45</v>
      </c>
      <c r="B42" s="1" t="s">
        <v>46</v>
      </c>
      <c r="D42" s="40"/>
      <c r="E42" s="40"/>
      <c r="F42" s="40"/>
      <c r="AK42" s="76"/>
      <c r="AL42" s="76"/>
      <c r="AM42" s="76"/>
    </row>
    <row r="43" spans="1:55" x14ac:dyDescent="0.25">
      <c r="A43" s="25"/>
      <c r="AK43" s="76"/>
      <c r="AL43" s="76"/>
      <c r="AM43" s="76"/>
    </row>
    <row r="44" spans="1:55" x14ac:dyDescent="0.25">
      <c r="A44" s="118" t="s">
        <v>47</v>
      </c>
      <c r="B44" s="1" t="s">
        <v>48</v>
      </c>
      <c r="G44" s="40"/>
      <c r="H44" s="40"/>
      <c r="I44" s="40"/>
      <c r="J44" s="40"/>
      <c r="K44" s="40"/>
      <c r="N44" s="40"/>
      <c r="O44" s="40"/>
      <c r="P44" s="40"/>
      <c r="Q44" s="40"/>
      <c r="R44" s="40"/>
      <c r="S44" s="40"/>
      <c r="T44" s="40"/>
      <c r="AK44" s="76"/>
      <c r="AL44" s="76"/>
      <c r="AM44" s="76"/>
    </row>
    <row r="45" spans="1:55" x14ac:dyDescent="0.25">
      <c r="A45" s="118" t="s">
        <v>49</v>
      </c>
      <c r="B45" s="52" t="s">
        <v>50</v>
      </c>
      <c r="AK45" s="76"/>
      <c r="AL45" s="76"/>
      <c r="AM45" s="76"/>
    </row>
    <row r="46" spans="1:55" x14ac:dyDescent="0.25">
      <c r="A46" s="25"/>
      <c r="AK46" s="76"/>
      <c r="AL46" s="76"/>
      <c r="AM46" s="76"/>
    </row>
    <row r="47" spans="1:55" x14ac:dyDescent="0.25">
      <c r="A47" s="164" t="s">
        <v>51</v>
      </c>
      <c r="B47" s="165" t="s">
        <v>52</v>
      </c>
      <c r="C47" s="166"/>
      <c r="D47" s="166"/>
      <c r="E47" s="166"/>
      <c r="F47" s="166"/>
      <c r="G47" s="166"/>
      <c r="H47" s="166"/>
      <c r="AK47" s="76"/>
      <c r="AL47" s="76"/>
      <c r="AM47" s="76"/>
    </row>
    <row r="48" spans="1:55" ht="47.25" customHeight="1" x14ac:dyDescent="0.25">
      <c r="A48" s="198" t="s">
        <v>53</v>
      </c>
      <c r="B48" s="216" t="s">
        <v>54</v>
      </c>
      <c r="C48" s="216"/>
      <c r="D48" s="216"/>
      <c r="E48" s="216"/>
      <c r="F48" s="216"/>
      <c r="G48" s="216"/>
      <c r="H48" s="216"/>
      <c r="I48" s="216"/>
      <c r="J48" s="216"/>
      <c r="K48" s="216"/>
      <c r="L48" s="216"/>
      <c r="M48" s="216"/>
      <c r="AK48" s="76"/>
      <c r="AL48" s="76"/>
      <c r="AM48" s="76"/>
    </row>
    <row r="49" spans="1:66" x14ac:dyDescent="0.25">
      <c r="A49" s="25"/>
    </row>
    <row r="50" spans="1:66" x14ac:dyDescent="0.25">
      <c r="A50" s="25" t="s">
        <v>55</v>
      </c>
      <c r="B50" s="1" t="s">
        <v>56</v>
      </c>
    </row>
    <row r="51" spans="1:66" x14ac:dyDescent="0.25">
      <c r="A51" s="25"/>
      <c r="B51" s="1" t="s">
        <v>57</v>
      </c>
    </row>
    <row r="52" spans="1:66" x14ac:dyDescent="0.25">
      <c r="A52" s="25"/>
      <c r="B52" s="1" t="s">
        <v>58</v>
      </c>
    </row>
    <row r="53" spans="1:66" x14ac:dyDescent="0.25">
      <c r="A53" s="25"/>
    </row>
    <row r="54" spans="1:66" s="80" customFormat="1" x14ac:dyDescent="0.25">
      <c r="A54" s="79" t="s">
        <v>59</v>
      </c>
      <c r="B54" s="80" t="s">
        <v>60</v>
      </c>
    </row>
    <row r="55" spans="1:66" x14ac:dyDescent="0.25">
      <c r="A55" s="25"/>
    </row>
    <row r="56" spans="1:66" x14ac:dyDescent="0.25">
      <c r="A56" s="25" t="s">
        <v>61</v>
      </c>
      <c r="B56" s="1" t="s">
        <v>62</v>
      </c>
    </row>
    <row r="57" spans="1:66" x14ac:dyDescent="0.25">
      <c r="A57" s="25"/>
    </row>
    <row r="58" spans="1:66" ht="45" customHeight="1" x14ac:dyDescent="0.25">
      <c r="B58" s="39"/>
      <c r="C58" s="217" t="s">
        <v>2</v>
      </c>
      <c r="D58" s="217"/>
      <c r="E58" s="90"/>
      <c r="F58" s="218" t="s">
        <v>3</v>
      </c>
      <c r="G58" s="218"/>
      <c r="H58" s="52"/>
      <c r="I58" s="212" t="s">
        <v>4</v>
      </c>
      <c r="J58" s="212"/>
      <c r="K58" s="52"/>
      <c r="L58" s="219" t="s">
        <v>5</v>
      </c>
      <c r="M58" s="219"/>
      <c r="N58" s="52"/>
      <c r="O58" s="219" t="s">
        <v>6</v>
      </c>
      <c r="P58" s="219"/>
      <c r="Q58" s="52"/>
      <c r="R58" s="219" t="s">
        <v>7</v>
      </c>
      <c r="S58" s="219"/>
      <c r="T58" s="52"/>
      <c r="U58" s="214" t="s">
        <v>8</v>
      </c>
      <c r="V58" s="214"/>
      <c r="W58" s="52"/>
      <c r="X58" s="211" t="s">
        <v>9</v>
      </c>
      <c r="Y58" s="211"/>
      <c r="AA58" s="215" t="s">
        <v>10</v>
      </c>
      <c r="AB58" s="215"/>
      <c r="AD58" s="211" t="s">
        <v>11</v>
      </c>
      <c r="AE58" s="211"/>
      <c r="AG58" s="211" t="s">
        <v>12</v>
      </c>
      <c r="AH58" s="211"/>
      <c r="AJ58" s="211" t="s">
        <v>13</v>
      </c>
      <c r="AK58" s="211"/>
      <c r="AM58" s="211" t="s">
        <v>14</v>
      </c>
      <c r="AN58" s="211"/>
      <c r="AP58" s="212" t="s">
        <v>15</v>
      </c>
      <c r="AQ58" s="212"/>
      <c r="AS58" s="211" t="s">
        <v>16</v>
      </c>
      <c r="AT58" s="211"/>
      <c r="AV58" s="213" t="s">
        <v>17</v>
      </c>
      <c r="AW58" s="213"/>
      <c r="AY58" s="213" t="s">
        <v>18</v>
      </c>
      <c r="AZ58" s="213"/>
      <c r="BB58" s="213" t="s">
        <v>19</v>
      </c>
      <c r="BC58" s="213"/>
    </row>
    <row r="59" spans="1:66" s="34" customFormat="1" x14ac:dyDescent="0.25">
      <c r="C59" s="54" t="s">
        <v>20</v>
      </c>
      <c r="D59" s="54" t="s">
        <v>21</v>
      </c>
      <c r="E59" s="54"/>
      <c r="F59" s="34" t="s">
        <v>20</v>
      </c>
      <c r="G59" s="54" t="s">
        <v>21</v>
      </c>
      <c r="I59" s="34" t="s">
        <v>20</v>
      </c>
      <c r="J59" s="54" t="s">
        <v>21</v>
      </c>
      <c r="L59" s="34" t="s">
        <v>20</v>
      </c>
      <c r="M59" s="54" t="s">
        <v>21</v>
      </c>
      <c r="O59" s="34" t="s">
        <v>20</v>
      </c>
      <c r="P59" s="54" t="s">
        <v>21</v>
      </c>
      <c r="R59" s="34" t="s">
        <v>20</v>
      </c>
      <c r="S59" s="54" t="s">
        <v>21</v>
      </c>
      <c r="U59" s="34" t="s">
        <v>20</v>
      </c>
      <c r="V59" s="34" t="s">
        <v>21</v>
      </c>
      <c r="X59" s="34" t="s">
        <v>20</v>
      </c>
      <c r="Y59" s="34" t="s">
        <v>21</v>
      </c>
      <c r="AA59" s="34" t="s">
        <v>20</v>
      </c>
      <c r="AB59" s="34" t="s">
        <v>21</v>
      </c>
      <c r="AD59" s="34" t="s">
        <v>20</v>
      </c>
      <c r="AE59" s="34" t="s">
        <v>21</v>
      </c>
      <c r="AG59" s="34" t="s">
        <v>20</v>
      </c>
      <c r="AH59" s="34" t="s">
        <v>21</v>
      </c>
      <c r="AJ59" s="34" t="s">
        <v>20</v>
      </c>
      <c r="AK59" s="34" t="s">
        <v>21</v>
      </c>
      <c r="AM59" s="34" t="s">
        <v>20</v>
      </c>
      <c r="AN59" s="34" t="s">
        <v>21</v>
      </c>
      <c r="AP59" s="34" t="s">
        <v>20</v>
      </c>
      <c r="AQ59" s="34" t="s">
        <v>21</v>
      </c>
      <c r="AS59" s="34" t="s">
        <v>20</v>
      </c>
      <c r="AT59" s="34" t="s">
        <v>21</v>
      </c>
      <c r="AV59" s="34" t="s">
        <v>20</v>
      </c>
      <c r="AW59" s="54" t="s">
        <v>21</v>
      </c>
      <c r="AY59" s="34" t="s">
        <v>20</v>
      </c>
      <c r="AZ59" s="54" t="s">
        <v>21</v>
      </c>
      <c r="BB59" s="34" t="s">
        <v>20</v>
      </c>
      <c r="BC59" s="54" t="s">
        <v>21</v>
      </c>
    </row>
    <row r="60" spans="1:66" x14ac:dyDescent="0.25">
      <c r="A60" s="25"/>
      <c r="C60" s="39"/>
      <c r="D60" s="39"/>
      <c r="E60" s="39"/>
      <c r="F60" s="39"/>
      <c r="G60" s="39"/>
      <c r="H60" s="39"/>
      <c r="I60" s="39"/>
      <c r="J60" s="39"/>
      <c r="K60" s="39"/>
      <c r="L60" s="39"/>
    </row>
    <row r="61" spans="1:66" s="52" customFormat="1" ht="60" customHeight="1" x14ac:dyDescent="0.25">
      <c r="A61" s="158" t="s">
        <v>63</v>
      </c>
      <c r="B61" s="157"/>
      <c r="C61" s="168">
        <f>'ST Standard from 1 Apr25'!C61</f>
        <v>13.86</v>
      </c>
      <c r="D61" s="168">
        <f>'ST Standard from 1 Apr25'!D61</f>
        <v>13.86</v>
      </c>
      <c r="E61" s="74"/>
      <c r="F61" s="74">
        <f t="shared" ref="F61:G61" si="72">C61*SUM(1+$G$1/$X$1)</f>
        <v>16.631999999999998</v>
      </c>
      <c r="G61" s="74">
        <f t="shared" si="72"/>
        <v>16.631999999999998</v>
      </c>
      <c r="H61" s="74"/>
      <c r="I61" s="74">
        <f t="shared" ref="I61:J61" si="73">F61-C61</f>
        <v>2.7719999999999985</v>
      </c>
      <c r="J61" s="74">
        <f t="shared" si="73"/>
        <v>2.7719999999999985</v>
      </c>
      <c r="K61" s="51"/>
      <c r="L61" s="160">
        <f t="shared" ref="L61:M61" si="74">ROUND(C61*(1+$G$1*2),2)*SUM(1+$M$1)</f>
        <v>18.292999999999999</v>
      </c>
      <c r="M61" s="160">
        <f t="shared" si="74"/>
        <v>18.292999999999999</v>
      </c>
      <c r="O61" s="74">
        <f t="shared" ref="O61:P61" si="75">L61-C61</f>
        <v>4.4329999999999998</v>
      </c>
      <c r="P61" s="74">
        <f t="shared" si="75"/>
        <v>4.4329999999999998</v>
      </c>
      <c r="R61" s="93">
        <f t="shared" ref="R61:S61" si="76">AJ61/F61</f>
        <v>9.9807599807599817E-2</v>
      </c>
      <c r="S61" s="93">
        <f t="shared" si="76"/>
        <v>9.9807599807599817E-2</v>
      </c>
      <c r="U61" s="74">
        <f t="shared" ref="U61:V61" si="77">SUM(C61/(1-$X$1))</f>
        <v>27.72</v>
      </c>
      <c r="V61" s="74">
        <f t="shared" si="77"/>
        <v>27.72</v>
      </c>
      <c r="X61" s="74">
        <f t="shared" ref="X61:Y61" si="78">ROUND(C61/(1-$X$1)*1.2,2)</f>
        <v>33.26</v>
      </c>
      <c r="Y61" s="74">
        <f t="shared" si="78"/>
        <v>33.26</v>
      </c>
      <c r="Z61" s="94"/>
      <c r="AA61" s="183">
        <f t="shared" ref="AA61:AB61" si="79">ROUNDDOWN(C61/(1-$X$1)*1.2,1)</f>
        <v>33.200000000000003</v>
      </c>
      <c r="AB61" s="183">
        <f t="shared" si="79"/>
        <v>33.200000000000003</v>
      </c>
      <c r="AD61" s="94">
        <f t="shared" ref="AD61:AE61" si="80">AA61/1.2</f>
        <v>27.666666666666671</v>
      </c>
      <c r="AE61" s="94">
        <f t="shared" si="80"/>
        <v>27.666666666666671</v>
      </c>
      <c r="AG61" s="94">
        <f t="shared" ref="AG61:AH61" si="81">X61-AA61</f>
        <v>5.9999999999995168E-2</v>
      </c>
      <c r="AH61" s="94">
        <f t="shared" si="81"/>
        <v>5.9999999999995168E-2</v>
      </c>
      <c r="AI61" s="94"/>
      <c r="AJ61" s="94">
        <f t="shared" ref="AJ61:AK61" si="82">ROUND(L61*(1-(1/(1+$AL$1))),2)</f>
        <v>1.66</v>
      </c>
      <c r="AK61" s="94">
        <f t="shared" si="82"/>
        <v>1.66</v>
      </c>
      <c r="AL61" s="94"/>
      <c r="AM61" s="181">
        <f t="shared" ref="AM61" si="83">SUM(U61-F61)-AG61</f>
        <v>11.028000000000006</v>
      </c>
      <c r="AN61" s="181">
        <f t="shared" ref="AN61" si="84">SUM(V61-G61)-AH61</f>
        <v>11.028000000000006</v>
      </c>
      <c r="AP61" s="135">
        <f t="shared" ref="AP61:AQ61" si="85">(SUM(F61-C61)/C61)/2</f>
        <v>9.999999999999995E-2</v>
      </c>
      <c r="AQ61" s="135">
        <f t="shared" si="85"/>
        <v>9.999999999999995E-2</v>
      </c>
      <c r="AS61" s="135">
        <f t="shared" ref="AS61:AT61" si="86">AM61/U61</f>
        <v>0.39783549783549804</v>
      </c>
      <c r="AT61" s="135">
        <f t="shared" si="86"/>
        <v>0.39783549783549804</v>
      </c>
      <c r="AV61" s="93">
        <f t="shared" ref="AV61:AW61" si="87">C61/U61</f>
        <v>0.5</v>
      </c>
      <c r="AW61" s="93">
        <f t="shared" si="87"/>
        <v>0.5</v>
      </c>
      <c r="AY61" s="136">
        <f t="shared" ref="AY61:AZ61" si="88">I61+AM61</f>
        <v>13.800000000000004</v>
      </c>
      <c r="AZ61" s="136">
        <f t="shared" si="88"/>
        <v>13.800000000000004</v>
      </c>
      <c r="BB61" s="93">
        <f t="shared" ref="BB61:BC61" si="89">AY61/(C61/$X$1)</f>
        <v>0.49783549783549802</v>
      </c>
      <c r="BC61" s="93">
        <f t="shared" si="89"/>
        <v>0.49783549783549802</v>
      </c>
      <c r="BK61" s="125" t="e">
        <f>SUM(U61-L61)-#REF!</f>
        <v>#REF!</v>
      </c>
      <c r="BN61" s="124" t="e">
        <f>BK61/U61</f>
        <v>#REF!</v>
      </c>
    </row>
    <row r="62" spans="1:66" x14ac:dyDescent="0.25">
      <c r="C62" s="39"/>
      <c r="D62" s="39"/>
      <c r="E62" s="39"/>
      <c r="F62" s="39"/>
      <c r="G62" s="39"/>
      <c r="H62" s="39"/>
      <c r="I62" s="39"/>
      <c r="J62" s="39"/>
      <c r="K62" s="39"/>
      <c r="L62" s="39"/>
      <c r="BN62" s="76"/>
    </row>
    <row r="63" spans="1:66" x14ac:dyDescent="0.25">
      <c r="A63" s="48" t="s">
        <v>64</v>
      </c>
      <c r="B63" s="44" t="s">
        <v>65</v>
      </c>
      <c r="C63" s="45" t="s">
        <v>66</v>
      </c>
    </row>
    <row r="64" spans="1:66" ht="29.25" customHeight="1" x14ac:dyDescent="0.25">
      <c r="A64" s="49"/>
      <c r="B64" s="209" t="s">
        <v>67</v>
      </c>
      <c r="C64" s="210" t="s">
        <v>68</v>
      </c>
      <c r="D64" s="210"/>
      <c r="E64" s="210"/>
      <c r="F64" s="210"/>
      <c r="G64" s="210"/>
      <c r="H64" s="210"/>
      <c r="I64" s="210"/>
      <c r="J64" s="210"/>
      <c r="K64" s="210"/>
      <c r="L64" s="210"/>
      <c r="M64" s="210"/>
    </row>
    <row r="65" spans="1:13" ht="29.25" customHeight="1" x14ac:dyDescent="0.25">
      <c r="A65" s="49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0"/>
    </row>
    <row r="66" spans="1:13" x14ac:dyDescent="0.25">
      <c r="A66" s="25"/>
      <c r="B66" s="44" t="s">
        <v>69</v>
      </c>
      <c r="C66" s="45" t="s">
        <v>70</v>
      </c>
    </row>
    <row r="67" spans="1:13" x14ac:dyDescent="0.25">
      <c r="A67" s="25"/>
      <c r="B67" s="44" t="s">
        <v>71</v>
      </c>
      <c r="C67" s="45" t="s">
        <v>72</v>
      </c>
    </row>
    <row r="68" spans="1:13" x14ac:dyDescent="0.25">
      <c r="A68" s="25"/>
      <c r="B68" s="44"/>
      <c r="C68" s="45"/>
    </row>
    <row r="69" spans="1:13" x14ac:dyDescent="0.25">
      <c r="A69" s="25" t="s">
        <v>73</v>
      </c>
      <c r="B69" s="1" t="s">
        <v>74</v>
      </c>
      <c r="C69" s="46" t="s">
        <v>75</v>
      </c>
      <c r="L69" s="47"/>
    </row>
    <row r="70" spans="1:13" x14ac:dyDescent="0.25">
      <c r="A70" s="25"/>
      <c r="B70" s="1" t="s">
        <v>76</v>
      </c>
      <c r="C70" s="47" t="s">
        <v>77</v>
      </c>
      <c r="L70" s="47"/>
    </row>
    <row r="71" spans="1:13" x14ac:dyDescent="0.25">
      <c r="A71" s="25"/>
      <c r="B71" s="1" t="s">
        <v>78</v>
      </c>
      <c r="C71" s="47" t="s">
        <v>79</v>
      </c>
      <c r="L71" s="47"/>
    </row>
    <row r="72" spans="1:13" x14ac:dyDescent="0.25">
      <c r="A72" s="25"/>
      <c r="B72" s="1" t="s">
        <v>80</v>
      </c>
      <c r="C72" s="47" t="s">
        <v>81</v>
      </c>
      <c r="L72" s="47"/>
    </row>
    <row r="73" spans="1:13" x14ac:dyDescent="0.25">
      <c r="A73" s="25"/>
    </row>
    <row r="74" spans="1:13" x14ac:dyDescent="0.25">
      <c r="A74" s="46" t="s">
        <v>82</v>
      </c>
      <c r="B74" s="1" t="s">
        <v>83</v>
      </c>
    </row>
    <row r="76" spans="1:13" x14ac:dyDescent="0.25">
      <c r="A76" s="119" t="s">
        <v>84</v>
      </c>
    </row>
    <row r="77" spans="1:13" x14ac:dyDescent="0.25">
      <c r="B77" s="47"/>
    </row>
    <row r="78" spans="1:13" x14ac:dyDescent="0.25">
      <c r="B78" s="47"/>
    </row>
    <row r="79" spans="1:13" x14ac:dyDescent="0.25">
      <c r="A79" s="166" t="s">
        <v>85</v>
      </c>
      <c r="B79" s="40">
        <v>1.04</v>
      </c>
      <c r="C79" s="192" t="s">
        <v>86</v>
      </c>
      <c r="M79" s="40"/>
    </row>
    <row r="80" spans="1:13" x14ac:dyDescent="0.25">
      <c r="A80" s="166"/>
      <c r="B80" s="40">
        <v>2.09</v>
      </c>
      <c r="C80" s="192" t="s">
        <v>87</v>
      </c>
      <c r="M80" s="40"/>
    </row>
    <row r="81" spans="2:2" x14ac:dyDescent="0.25">
      <c r="B81" s="40"/>
    </row>
  </sheetData>
  <mergeCells count="40">
    <mergeCell ref="AM1:AN1"/>
    <mergeCell ref="C2:D2"/>
    <mergeCell ref="F2:G2"/>
    <mergeCell ref="I2:J2"/>
    <mergeCell ref="L2:M2"/>
    <mergeCell ref="O2:P2"/>
    <mergeCell ref="R2:S2"/>
    <mergeCell ref="U2:V2"/>
    <mergeCell ref="X2:Y2"/>
    <mergeCell ref="AA2:AB2"/>
    <mergeCell ref="AV2:AW2"/>
    <mergeCell ref="AY2:AZ2"/>
    <mergeCell ref="BB2:BC2"/>
    <mergeCell ref="B48:M48"/>
    <mergeCell ref="C58:D58"/>
    <mergeCell ref="F58:G58"/>
    <mergeCell ref="I58:J58"/>
    <mergeCell ref="L58:M58"/>
    <mergeCell ref="O58:P58"/>
    <mergeCell ref="R58:S58"/>
    <mergeCell ref="AD2:AE2"/>
    <mergeCell ref="AG2:AH2"/>
    <mergeCell ref="AJ2:AK2"/>
    <mergeCell ref="AM2:AN2"/>
    <mergeCell ref="AP2:AQ2"/>
    <mergeCell ref="AS2:AT2"/>
    <mergeCell ref="AV58:AW58"/>
    <mergeCell ref="AY58:AZ58"/>
    <mergeCell ref="BB58:BC58"/>
    <mergeCell ref="U58:V58"/>
    <mergeCell ref="X58:Y58"/>
    <mergeCell ref="AA58:AB58"/>
    <mergeCell ref="AD58:AE58"/>
    <mergeCell ref="AG58:AH58"/>
    <mergeCell ref="AJ58:AK58"/>
    <mergeCell ref="B64:B65"/>
    <mergeCell ref="C64:M65"/>
    <mergeCell ref="AM58:AN58"/>
    <mergeCell ref="AP58:AQ58"/>
    <mergeCell ref="AS58:AT58"/>
  </mergeCells>
  <pageMargins left="0.7" right="0.7" top="0.75" bottom="0.75" header="0.3" footer="0.3"/>
  <pageSetup orientation="portrait" horizontalDpi="4294967295" verticalDpi="4294967295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1B12D-7E6F-488A-8531-DBF44236C6E6}">
  <sheetPr>
    <tabColor rgb="FFFF0000"/>
  </sheetPr>
  <dimension ref="A1:BN80"/>
  <sheetViews>
    <sheetView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30" sqref="D30"/>
    </sheetView>
  </sheetViews>
  <sheetFormatPr defaultColWidth="8.85546875" defaultRowHeight="15" x14ac:dyDescent="0.25"/>
  <cols>
    <col min="1" max="1" width="50.7109375" style="1" customWidth="1"/>
    <col min="2" max="2" width="11.5703125" style="1" customWidth="1"/>
    <col min="3" max="4" width="7.7109375" style="1" customWidth="1"/>
    <col min="5" max="5" width="3.5703125" style="1" customWidth="1"/>
    <col min="6" max="7" width="7.7109375" style="1" customWidth="1"/>
    <col min="8" max="8" width="4" style="1" customWidth="1"/>
    <col min="9" max="10" width="6.7109375" style="1" customWidth="1"/>
    <col min="11" max="11" width="4" style="1" customWidth="1"/>
    <col min="12" max="13" width="7.7109375" style="1" customWidth="1"/>
    <col min="14" max="14" width="5.5703125" style="1" customWidth="1"/>
    <col min="15" max="16" width="7.7109375" style="1" customWidth="1"/>
    <col min="17" max="17" width="5.5703125" style="1" customWidth="1"/>
    <col min="18" max="18" width="6.5703125" style="1" bestFit="1" customWidth="1"/>
    <col min="19" max="19" width="7.85546875" style="1" bestFit="1" customWidth="1"/>
    <col min="20" max="20" width="5.5703125" style="1" customWidth="1"/>
    <col min="21" max="22" width="12.5703125" style="1" customWidth="1"/>
    <col min="23" max="23" width="3" style="1" customWidth="1"/>
    <col min="24" max="25" width="10.7109375" style="1" customWidth="1"/>
    <col min="26" max="26" width="5.7109375" style="1" bestFit="1" customWidth="1"/>
    <col min="27" max="28" width="8.140625" style="1" bestFit="1" customWidth="1"/>
    <col min="29" max="29" width="5.7109375" style="1" customWidth="1"/>
    <col min="30" max="31" width="7.140625" style="1" bestFit="1" customWidth="1"/>
    <col min="32" max="32" width="5.7109375" style="1" customWidth="1"/>
    <col min="33" max="34" width="6.7109375" style="1" bestFit="1" customWidth="1"/>
    <col min="35" max="35" width="5.7109375" style="1" customWidth="1"/>
    <col min="36" max="36" width="7.140625" style="1" bestFit="1" customWidth="1"/>
    <col min="37" max="37" width="6.140625" style="1" bestFit="1" customWidth="1"/>
    <col min="38" max="38" width="7.7109375" style="1" bestFit="1" customWidth="1"/>
    <col min="39" max="40" width="8" style="1" bestFit="1" customWidth="1"/>
    <col min="41" max="41" width="3.28515625" style="1" customWidth="1"/>
    <col min="42" max="42" width="5.140625" style="1" bestFit="1" customWidth="1"/>
    <col min="43" max="43" width="6.140625" style="1" bestFit="1" customWidth="1"/>
    <col min="44" max="44" width="5.140625" style="1" customWidth="1"/>
    <col min="45" max="46" width="6.5703125" style="1" bestFit="1" customWidth="1"/>
    <col min="47" max="47" width="5.140625" style="1" customWidth="1"/>
    <col min="48" max="48" width="8.85546875" style="1" customWidth="1"/>
    <col min="49" max="49" width="8" style="1" customWidth="1"/>
    <col min="50" max="50" width="5.42578125" style="1" customWidth="1"/>
    <col min="51" max="52" width="6.7109375" style="1" customWidth="1"/>
    <col min="53" max="53" width="5.42578125" style="1" customWidth="1"/>
    <col min="54" max="55" width="8" style="1" customWidth="1"/>
    <col min="56" max="56" width="6.140625" style="1" customWidth="1"/>
    <col min="57" max="58" width="8" style="1" bestFit="1" customWidth="1"/>
    <col min="59" max="62" width="6.140625" style="1" customWidth="1"/>
    <col min="63" max="64" width="8" style="1" customWidth="1"/>
    <col min="65" max="65" width="1.42578125" style="1" customWidth="1"/>
    <col min="66" max="67" width="8.7109375" style="1" customWidth="1"/>
    <col min="68" max="68" width="8.85546875" style="1" customWidth="1"/>
    <col min="69" max="16384" width="8.85546875" style="1"/>
  </cols>
  <sheetData>
    <row r="1" spans="1:61" ht="15" customHeight="1" thickBot="1" x14ac:dyDescent="0.3">
      <c r="A1" s="184" t="s">
        <v>88</v>
      </c>
      <c r="C1" s="171" t="s">
        <v>0</v>
      </c>
      <c r="D1" s="163">
        <v>0.16</v>
      </c>
      <c r="E1" s="38"/>
      <c r="F1" s="38"/>
      <c r="G1" s="193">
        <v>0.1</v>
      </c>
      <c r="H1" s="170" t="s">
        <v>1</v>
      </c>
      <c r="M1" s="91">
        <v>0.1</v>
      </c>
      <c r="X1" s="91">
        <v>0.5</v>
      </c>
      <c r="AL1" s="91">
        <v>0.1</v>
      </c>
      <c r="AM1" s="220"/>
      <c r="AN1" s="220"/>
    </row>
    <row r="2" spans="1:61" ht="45" customHeight="1" x14ac:dyDescent="0.25">
      <c r="B2" s="39"/>
      <c r="C2" s="217" t="s">
        <v>2</v>
      </c>
      <c r="D2" s="217"/>
      <c r="E2" s="90"/>
      <c r="F2" s="218" t="s">
        <v>3</v>
      </c>
      <c r="G2" s="218"/>
      <c r="H2" s="52"/>
      <c r="I2" s="212" t="s">
        <v>4</v>
      </c>
      <c r="J2" s="212"/>
      <c r="K2" s="52"/>
      <c r="L2" s="219" t="s">
        <v>5</v>
      </c>
      <c r="M2" s="219"/>
      <c r="N2" s="52"/>
      <c r="O2" s="219" t="s">
        <v>6</v>
      </c>
      <c r="P2" s="219"/>
      <c r="Q2" s="52"/>
      <c r="R2" s="219" t="s">
        <v>7</v>
      </c>
      <c r="S2" s="219"/>
      <c r="T2" s="52"/>
      <c r="U2" s="214" t="s">
        <v>8</v>
      </c>
      <c r="V2" s="214"/>
      <c r="W2" s="52"/>
      <c r="X2" s="211" t="s">
        <v>9</v>
      </c>
      <c r="Y2" s="211"/>
      <c r="AA2" s="215" t="s">
        <v>10</v>
      </c>
      <c r="AB2" s="215"/>
      <c r="AD2" s="211" t="s">
        <v>11</v>
      </c>
      <c r="AE2" s="211"/>
      <c r="AG2" s="211" t="s">
        <v>12</v>
      </c>
      <c r="AH2" s="211"/>
      <c r="AJ2" s="211" t="s">
        <v>13</v>
      </c>
      <c r="AK2" s="211"/>
      <c r="AM2" s="211" t="s">
        <v>14</v>
      </c>
      <c r="AN2" s="211"/>
      <c r="AP2" s="212" t="s">
        <v>15</v>
      </c>
      <c r="AQ2" s="212"/>
      <c r="AS2" s="219" t="s">
        <v>16</v>
      </c>
      <c r="AT2" s="219"/>
      <c r="AV2" s="213" t="s">
        <v>17</v>
      </c>
      <c r="AW2" s="213"/>
      <c r="AY2" s="213" t="s">
        <v>18</v>
      </c>
      <c r="AZ2" s="213"/>
      <c r="BB2" s="213" t="s">
        <v>19</v>
      </c>
      <c r="BC2" s="213"/>
    </row>
    <row r="3" spans="1:61" s="34" customFormat="1" x14ac:dyDescent="0.25">
      <c r="C3" s="54" t="s">
        <v>20</v>
      </c>
      <c r="D3" s="54" t="s">
        <v>21</v>
      </c>
      <c r="E3" s="54"/>
      <c r="F3" s="34" t="s">
        <v>20</v>
      </c>
      <c r="G3" s="54" t="s">
        <v>21</v>
      </c>
      <c r="I3" s="34" t="s">
        <v>20</v>
      </c>
      <c r="J3" s="54" t="s">
        <v>21</v>
      </c>
      <c r="L3" s="34" t="s">
        <v>20</v>
      </c>
      <c r="M3" s="54" t="s">
        <v>21</v>
      </c>
      <c r="O3" s="34" t="s">
        <v>20</v>
      </c>
      <c r="P3" s="54" t="s">
        <v>21</v>
      </c>
      <c r="R3" s="34" t="s">
        <v>20</v>
      </c>
      <c r="S3" s="54" t="s">
        <v>21</v>
      </c>
      <c r="U3" s="34" t="s">
        <v>20</v>
      </c>
      <c r="V3" s="34" t="s">
        <v>21</v>
      </c>
      <c r="X3" s="34" t="s">
        <v>20</v>
      </c>
      <c r="Y3" s="34" t="s">
        <v>21</v>
      </c>
      <c r="AA3" s="34" t="s">
        <v>20</v>
      </c>
      <c r="AB3" s="34" t="s">
        <v>21</v>
      </c>
      <c r="AD3" s="34" t="s">
        <v>20</v>
      </c>
      <c r="AE3" s="34" t="s">
        <v>21</v>
      </c>
      <c r="AG3" s="34" t="s">
        <v>20</v>
      </c>
      <c r="AH3" s="34" t="s">
        <v>21</v>
      </c>
      <c r="AJ3" s="34" t="s">
        <v>20</v>
      </c>
      <c r="AK3" s="34" t="s">
        <v>21</v>
      </c>
      <c r="AM3" s="34" t="s">
        <v>20</v>
      </c>
      <c r="AN3" s="34" t="s">
        <v>21</v>
      </c>
      <c r="AP3" s="34" t="s">
        <v>20</v>
      </c>
      <c r="AQ3" s="34" t="s">
        <v>21</v>
      </c>
      <c r="AS3" s="34" t="s">
        <v>20</v>
      </c>
      <c r="AT3" s="34" t="s">
        <v>21</v>
      </c>
      <c r="AV3" s="34" t="s">
        <v>20</v>
      </c>
      <c r="AW3" s="54" t="s">
        <v>21</v>
      </c>
      <c r="AY3" s="34" t="s">
        <v>20</v>
      </c>
      <c r="AZ3" s="54" t="s">
        <v>21</v>
      </c>
      <c r="BB3" s="34" t="s">
        <v>20</v>
      </c>
      <c r="BC3" s="54" t="s">
        <v>21</v>
      </c>
    </row>
    <row r="4" spans="1:61" x14ac:dyDescent="0.25">
      <c r="B4" s="32" t="s">
        <v>22</v>
      </c>
      <c r="C4" s="40"/>
      <c r="D4" s="40"/>
      <c r="E4" s="40"/>
      <c r="F4" s="40"/>
      <c r="L4" s="39"/>
      <c r="M4" s="41"/>
      <c r="AA4" s="39"/>
      <c r="AB4" s="39"/>
    </row>
    <row r="5" spans="1:61" x14ac:dyDescent="0.25">
      <c r="B5" s="25" t="s">
        <v>23</v>
      </c>
      <c r="C5" s="149">
        <f>ROUND('ST Standard from 1 Apr25'!C5+$B$79,2)</f>
        <v>10.23</v>
      </c>
      <c r="D5" s="149">
        <f>ROUND('ST Standard from 1 Apr25'!D5+$B$79,2)</f>
        <v>15.09</v>
      </c>
      <c r="E5" s="41"/>
      <c r="F5" s="41">
        <f t="shared" ref="F5:G9" si="0">C5*SUM(1+$G$1/$X$1)</f>
        <v>12.276</v>
      </c>
      <c r="G5" s="41">
        <f t="shared" si="0"/>
        <v>18.108000000000001</v>
      </c>
      <c r="H5" s="82"/>
      <c r="I5" s="41">
        <f>F5-C5</f>
        <v>2.0459999999999994</v>
      </c>
      <c r="J5" s="41">
        <f>G5-D5</f>
        <v>3.0180000000000007</v>
      </c>
      <c r="K5" s="82"/>
      <c r="L5" s="41">
        <f>ROUND(C5*(1+$G$1*2),2)*SUM(1+$M$1)</f>
        <v>13.508000000000001</v>
      </c>
      <c r="M5" s="41">
        <f t="shared" ref="L5:M9" si="1">ROUND(D5*(1+$G$1*2),2)*SUM(1+$M$1)</f>
        <v>19.920999999999999</v>
      </c>
      <c r="N5" s="82"/>
      <c r="O5" s="41">
        <f>L5-C5</f>
        <v>3.2780000000000005</v>
      </c>
      <c r="P5" s="41">
        <f>M5-D5</f>
        <v>4.8309999999999995</v>
      </c>
      <c r="Q5" s="82"/>
      <c r="R5" s="76">
        <f t="shared" ref="R5:S9" si="2">AJ5/F5</f>
        <v>0.10019550342130987</v>
      </c>
      <c r="S5" s="76">
        <f t="shared" si="2"/>
        <v>9.9955820631764961E-2</v>
      </c>
      <c r="T5" s="82"/>
      <c r="U5" s="41">
        <f t="shared" ref="U5:V9" si="3">SUM(C5/(1-$X$1))</f>
        <v>20.46</v>
      </c>
      <c r="V5" s="41">
        <f t="shared" si="3"/>
        <v>30.18</v>
      </c>
      <c r="W5" s="82"/>
      <c r="X5" s="41">
        <f>ROUND(C5/(1-$X$1)*1.2,2)</f>
        <v>24.55</v>
      </c>
      <c r="Y5" s="41">
        <f>ROUND(D5/(1-$X$1)*1.2,2)</f>
        <v>36.22</v>
      </c>
      <c r="AA5" s="182">
        <f>ROUNDDOWN(C5/(1-$X$1)*1.2,1)</f>
        <v>24.5</v>
      </c>
      <c r="AB5" s="182">
        <f>ROUNDDOWN(D5/(1-$X$1)*1.2,1)</f>
        <v>36.200000000000003</v>
      </c>
      <c r="AD5" s="40">
        <f>AA5/1.2</f>
        <v>20.416666666666668</v>
      </c>
      <c r="AE5" s="40">
        <f>AB5/1.2</f>
        <v>30.166666666666671</v>
      </c>
      <c r="AG5" s="40">
        <f>X5-AA5</f>
        <v>5.0000000000000711E-2</v>
      </c>
      <c r="AH5" s="40">
        <f>Y5-AB5</f>
        <v>1.9999999999996021E-2</v>
      </c>
      <c r="AJ5" s="40">
        <f t="shared" ref="AJ5:AK9" si="4">ROUND(L5*(1-(1/(1+$AL$1))),2)</f>
        <v>1.23</v>
      </c>
      <c r="AK5" s="40">
        <f t="shared" si="4"/>
        <v>1.81</v>
      </c>
      <c r="AL5" s="40"/>
      <c r="AM5" s="180">
        <f>SUM(U5-F5)-AG5</f>
        <v>8.1340000000000003</v>
      </c>
      <c r="AN5" s="180">
        <f>SUM(V5-G5)-AH5</f>
        <v>12.052000000000003</v>
      </c>
      <c r="AP5" s="76">
        <f t="shared" ref="AP5:AQ9" si="5">(SUM(F5-C5)/C5)*$X$1</f>
        <v>9.9999999999999964E-2</v>
      </c>
      <c r="AQ5" s="76">
        <f t="shared" si="5"/>
        <v>0.10000000000000002</v>
      </c>
      <c r="AS5" s="76">
        <f t="shared" ref="AS5:AT9" si="6">AM5/U5</f>
        <v>0.39755620723362661</v>
      </c>
      <c r="AT5" s="76">
        <f t="shared" si="6"/>
        <v>0.39933730947647461</v>
      </c>
      <c r="AU5" s="40"/>
      <c r="AV5" s="76">
        <f t="shared" ref="AV5:AW9" si="7">C5/U5</f>
        <v>0.5</v>
      </c>
      <c r="AW5" s="76">
        <f t="shared" si="7"/>
        <v>0.5</v>
      </c>
      <c r="AX5" s="42"/>
      <c r="AY5" s="42">
        <f t="shared" ref="AY5:AZ9" si="8">I5+AM5</f>
        <v>10.18</v>
      </c>
      <c r="AZ5" s="42">
        <f t="shared" si="8"/>
        <v>15.070000000000004</v>
      </c>
      <c r="BA5" s="42"/>
      <c r="BB5" s="76">
        <f t="shared" ref="BB5:BC9" si="9">AY5/(C5/$X$1)</f>
        <v>0.49755620723362654</v>
      </c>
      <c r="BC5" s="76">
        <f t="shared" si="9"/>
        <v>0.49933730947647464</v>
      </c>
      <c r="BE5" s="40"/>
      <c r="BF5" s="40"/>
      <c r="BG5" s="40"/>
      <c r="BH5" s="40"/>
      <c r="BI5" s="76"/>
    </row>
    <row r="6" spans="1:61" x14ac:dyDescent="0.25">
      <c r="B6" s="25" t="s">
        <v>24</v>
      </c>
      <c r="C6" s="149">
        <f>ROUND('ST Standard from 1 Apr25'!C6+$B$79,2)</f>
        <v>10.69</v>
      </c>
      <c r="D6" s="149">
        <f>ROUND('ST Standard from 1 Apr25'!D6+$B$79,2)</f>
        <v>15.8</v>
      </c>
      <c r="E6" s="41"/>
      <c r="F6" s="41">
        <f t="shared" si="0"/>
        <v>12.827999999999999</v>
      </c>
      <c r="G6" s="41">
        <f t="shared" si="0"/>
        <v>18.96</v>
      </c>
      <c r="H6" s="82"/>
      <c r="I6" s="41">
        <f t="shared" ref="I6:J9" si="10">F6-C6</f>
        <v>2.1379999999999999</v>
      </c>
      <c r="J6" s="41">
        <f t="shared" si="10"/>
        <v>3.16</v>
      </c>
      <c r="K6" s="82"/>
      <c r="L6" s="41">
        <f t="shared" si="1"/>
        <v>14.113000000000001</v>
      </c>
      <c r="M6" s="41">
        <f t="shared" si="1"/>
        <v>20.856000000000002</v>
      </c>
      <c r="N6" s="82"/>
      <c r="O6" s="41">
        <f t="shared" ref="O6:P9" si="11">L6-C6</f>
        <v>3.4230000000000018</v>
      </c>
      <c r="P6" s="41">
        <f t="shared" si="11"/>
        <v>5.0560000000000009</v>
      </c>
      <c r="Q6" s="82"/>
      <c r="R6" s="76">
        <f t="shared" si="2"/>
        <v>9.978172747115685E-2</v>
      </c>
      <c r="S6" s="76">
        <f t="shared" si="2"/>
        <v>0.10021097046413502</v>
      </c>
      <c r="T6" s="82"/>
      <c r="U6" s="41">
        <f t="shared" si="3"/>
        <v>21.38</v>
      </c>
      <c r="V6" s="41">
        <f t="shared" si="3"/>
        <v>31.6</v>
      </c>
      <c r="W6" s="82"/>
      <c r="X6" s="41">
        <f t="shared" ref="X6:Y9" si="12">ROUND(C6/(1-$X$1)*1.2,2)</f>
        <v>25.66</v>
      </c>
      <c r="Y6" s="41">
        <f t="shared" si="12"/>
        <v>37.92</v>
      </c>
      <c r="AA6" s="182">
        <f t="shared" ref="AA6:AB9" si="13">ROUNDDOWN(C6/(1-$X$1)*1.2,1)</f>
        <v>25.6</v>
      </c>
      <c r="AB6" s="182">
        <f t="shared" si="13"/>
        <v>37.9</v>
      </c>
      <c r="AD6" s="40">
        <f t="shared" ref="AD6:AE9" si="14">AA6/1.2</f>
        <v>21.333333333333336</v>
      </c>
      <c r="AE6" s="40">
        <f t="shared" si="14"/>
        <v>31.583333333333332</v>
      </c>
      <c r="AG6" s="40">
        <f t="shared" ref="AG6:AH9" si="15">X6-AA6</f>
        <v>5.9999999999998721E-2</v>
      </c>
      <c r="AH6" s="40">
        <f t="shared" si="15"/>
        <v>2.0000000000003126E-2</v>
      </c>
      <c r="AJ6" s="40">
        <f t="shared" si="4"/>
        <v>1.28</v>
      </c>
      <c r="AK6" s="40">
        <f t="shared" si="4"/>
        <v>1.9</v>
      </c>
      <c r="AL6" s="40"/>
      <c r="AM6" s="180">
        <f t="shared" ref="AM6:AM9" si="16">SUM(U6-F6)-AG6</f>
        <v>8.4920000000000009</v>
      </c>
      <c r="AN6" s="180">
        <f t="shared" ref="AN6:AN9" si="17">SUM(V6-G6)-AH6</f>
        <v>12.619999999999997</v>
      </c>
      <c r="AP6" s="76">
        <f t="shared" si="5"/>
        <v>0.1</v>
      </c>
      <c r="AQ6" s="76">
        <f t="shared" si="5"/>
        <v>0.1</v>
      </c>
      <c r="AS6" s="76">
        <f t="shared" si="6"/>
        <v>0.39719363891487375</v>
      </c>
      <c r="AT6" s="76">
        <f t="shared" si="6"/>
        <v>0.39936708860759484</v>
      </c>
      <c r="AV6" s="76">
        <f t="shared" si="7"/>
        <v>0.5</v>
      </c>
      <c r="AW6" s="76">
        <f t="shared" si="7"/>
        <v>0.5</v>
      </c>
      <c r="AX6" s="42"/>
      <c r="AY6" s="42">
        <f t="shared" si="8"/>
        <v>10.63</v>
      </c>
      <c r="AZ6" s="42">
        <f t="shared" si="8"/>
        <v>15.779999999999998</v>
      </c>
      <c r="BA6" s="42"/>
      <c r="BB6" s="76">
        <f t="shared" si="9"/>
        <v>0.49719363891487378</v>
      </c>
      <c r="BC6" s="76">
        <f t="shared" si="9"/>
        <v>0.49936708860759482</v>
      </c>
    </row>
    <row r="7" spans="1:61" x14ac:dyDescent="0.25">
      <c r="B7" s="25" t="s">
        <v>25</v>
      </c>
      <c r="C7" s="149">
        <f>ROUND('ST Standard from 1 Apr25'!C7+$B$79,2)</f>
        <v>11.69</v>
      </c>
      <c r="D7" s="149">
        <f>ROUND('ST Standard from 1 Apr25'!D7+$B$79,2)</f>
        <v>17.34</v>
      </c>
      <c r="E7" s="41"/>
      <c r="F7" s="41">
        <f t="shared" si="0"/>
        <v>14.027999999999999</v>
      </c>
      <c r="G7" s="41">
        <f t="shared" si="0"/>
        <v>20.808</v>
      </c>
      <c r="H7" s="82"/>
      <c r="I7" s="41">
        <f t="shared" si="10"/>
        <v>2.3379999999999992</v>
      </c>
      <c r="J7" s="41">
        <f t="shared" si="10"/>
        <v>3.468</v>
      </c>
      <c r="K7" s="82"/>
      <c r="L7" s="41">
        <f>ROUND(C7*(1+$G$1*2),2)*SUM(1+$M$1)</f>
        <v>15.433</v>
      </c>
      <c r="M7" s="41">
        <f t="shared" si="1"/>
        <v>22.891000000000002</v>
      </c>
      <c r="N7" s="82"/>
      <c r="O7" s="41">
        <f t="shared" si="11"/>
        <v>3.7430000000000003</v>
      </c>
      <c r="P7" s="41">
        <f t="shared" si="11"/>
        <v>5.5510000000000019</v>
      </c>
      <c r="Q7" s="82"/>
      <c r="R7" s="76">
        <f t="shared" si="2"/>
        <v>9.9800399201596807E-2</v>
      </c>
      <c r="S7" s="76">
        <f t="shared" si="2"/>
        <v>9.9961553248750487E-2</v>
      </c>
      <c r="T7" s="82"/>
      <c r="U7" s="41">
        <f t="shared" si="3"/>
        <v>23.38</v>
      </c>
      <c r="V7" s="41">
        <f t="shared" si="3"/>
        <v>34.68</v>
      </c>
      <c r="W7" s="82"/>
      <c r="X7" s="41">
        <f t="shared" si="12"/>
        <v>28.06</v>
      </c>
      <c r="Y7" s="41">
        <f t="shared" si="12"/>
        <v>41.62</v>
      </c>
      <c r="AA7" s="182">
        <f t="shared" si="13"/>
        <v>28</v>
      </c>
      <c r="AB7" s="182">
        <f t="shared" si="13"/>
        <v>41.6</v>
      </c>
      <c r="AD7" s="40">
        <f t="shared" si="14"/>
        <v>23.333333333333336</v>
      </c>
      <c r="AE7" s="40">
        <f t="shared" si="14"/>
        <v>34.666666666666671</v>
      </c>
      <c r="AG7" s="40">
        <f t="shared" si="15"/>
        <v>5.9999999999998721E-2</v>
      </c>
      <c r="AH7" s="40">
        <f t="shared" si="15"/>
        <v>1.9999999999996021E-2</v>
      </c>
      <c r="AJ7" s="40">
        <f>ROUND(L7*(1-(1/(1+$AL$1))),2)</f>
        <v>1.4</v>
      </c>
      <c r="AK7" s="40">
        <f t="shared" si="4"/>
        <v>2.08</v>
      </c>
      <c r="AL7" s="40"/>
      <c r="AM7" s="180">
        <f t="shared" si="16"/>
        <v>9.2920000000000016</v>
      </c>
      <c r="AN7" s="180">
        <f t="shared" si="17"/>
        <v>13.852000000000004</v>
      </c>
      <c r="AP7" s="76">
        <f t="shared" si="5"/>
        <v>9.9999999999999964E-2</v>
      </c>
      <c r="AQ7" s="76">
        <f t="shared" si="5"/>
        <v>0.1</v>
      </c>
      <c r="AS7" s="76">
        <f t="shared" si="6"/>
        <v>0.39743370402053046</v>
      </c>
      <c r="AT7" s="76">
        <f t="shared" si="6"/>
        <v>0.39942329873125731</v>
      </c>
      <c r="AV7" s="76">
        <f t="shared" si="7"/>
        <v>0.5</v>
      </c>
      <c r="AW7" s="76">
        <f t="shared" si="7"/>
        <v>0.5</v>
      </c>
      <c r="AX7" s="42"/>
      <c r="AY7" s="42">
        <f t="shared" si="8"/>
        <v>11.63</v>
      </c>
      <c r="AZ7" s="42">
        <f t="shared" si="8"/>
        <v>17.320000000000004</v>
      </c>
      <c r="BA7" s="42"/>
      <c r="BB7" s="76">
        <f t="shared" si="9"/>
        <v>0.49743370402053044</v>
      </c>
      <c r="BC7" s="76">
        <f t="shared" si="9"/>
        <v>0.49942329873125735</v>
      </c>
    </row>
    <row r="8" spans="1:61" x14ac:dyDescent="0.25">
      <c r="B8" s="25" t="s">
        <v>26</v>
      </c>
      <c r="C8" s="149">
        <f>ROUND('ST Standard from 1 Apr25'!C8+$B$79,2)</f>
        <v>12.79</v>
      </c>
      <c r="D8" s="149">
        <f>ROUND('ST Standard from 1 Apr25'!D8+$B$79,2)</f>
        <v>18.989999999999998</v>
      </c>
      <c r="E8" s="41"/>
      <c r="F8" s="41">
        <f t="shared" si="0"/>
        <v>15.347999999999999</v>
      </c>
      <c r="G8" s="41">
        <f t="shared" si="0"/>
        <v>22.787999999999997</v>
      </c>
      <c r="H8" s="82"/>
      <c r="I8" s="41">
        <f t="shared" si="10"/>
        <v>2.5579999999999998</v>
      </c>
      <c r="J8" s="41">
        <f t="shared" si="10"/>
        <v>3.7979999999999983</v>
      </c>
      <c r="K8" s="82"/>
      <c r="L8" s="41">
        <f t="shared" si="1"/>
        <v>16.885000000000002</v>
      </c>
      <c r="M8" s="41">
        <f t="shared" si="1"/>
        <v>25.069000000000003</v>
      </c>
      <c r="N8" s="82"/>
      <c r="O8" s="41">
        <f t="shared" si="11"/>
        <v>4.0950000000000024</v>
      </c>
      <c r="P8" s="41">
        <f t="shared" si="11"/>
        <v>6.0790000000000042</v>
      </c>
      <c r="Q8" s="82"/>
      <c r="R8" s="76">
        <f t="shared" si="2"/>
        <v>0.10033880635913475</v>
      </c>
      <c r="S8" s="76">
        <f t="shared" si="2"/>
        <v>0.10005265929436546</v>
      </c>
      <c r="T8" s="82"/>
      <c r="U8" s="41">
        <f t="shared" si="3"/>
        <v>25.58</v>
      </c>
      <c r="V8" s="41">
        <f t="shared" si="3"/>
        <v>37.979999999999997</v>
      </c>
      <c r="W8" s="82"/>
      <c r="X8" s="41">
        <f t="shared" si="12"/>
        <v>30.7</v>
      </c>
      <c r="Y8" s="41">
        <f t="shared" si="12"/>
        <v>45.58</v>
      </c>
      <c r="AA8" s="182">
        <f t="shared" si="13"/>
        <v>30.6</v>
      </c>
      <c r="AB8" s="182">
        <f t="shared" si="13"/>
        <v>45.5</v>
      </c>
      <c r="AD8" s="40">
        <f t="shared" si="14"/>
        <v>25.500000000000004</v>
      </c>
      <c r="AE8" s="40">
        <f t="shared" si="14"/>
        <v>37.916666666666671</v>
      </c>
      <c r="AG8" s="40">
        <f t="shared" si="15"/>
        <v>9.9999999999997868E-2</v>
      </c>
      <c r="AH8" s="40">
        <f t="shared" si="15"/>
        <v>7.9999999999998295E-2</v>
      </c>
      <c r="AJ8" s="40">
        <f t="shared" si="4"/>
        <v>1.54</v>
      </c>
      <c r="AK8" s="40">
        <f t="shared" si="4"/>
        <v>2.2799999999999998</v>
      </c>
      <c r="AL8" s="40"/>
      <c r="AM8" s="180">
        <f t="shared" si="16"/>
        <v>10.132000000000001</v>
      </c>
      <c r="AN8" s="180">
        <f t="shared" si="17"/>
        <v>15.112000000000002</v>
      </c>
      <c r="AP8" s="76">
        <f t="shared" si="5"/>
        <v>0.1</v>
      </c>
      <c r="AQ8" s="76">
        <f t="shared" si="5"/>
        <v>9.9999999999999964E-2</v>
      </c>
      <c r="AS8" s="76">
        <f t="shared" si="6"/>
        <v>0.39609069585613771</v>
      </c>
      <c r="AT8" s="76">
        <f t="shared" si="6"/>
        <v>0.39789362822538188</v>
      </c>
      <c r="AV8" s="76">
        <f t="shared" si="7"/>
        <v>0.5</v>
      </c>
      <c r="AW8" s="76">
        <f t="shared" si="7"/>
        <v>0.5</v>
      </c>
      <c r="AX8" s="42"/>
      <c r="AY8" s="42">
        <f t="shared" si="8"/>
        <v>12.690000000000001</v>
      </c>
      <c r="AZ8" s="42">
        <f t="shared" si="8"/>
        <v>18.91</v>
      </c>
      <c r="BA8" s="42"/>
      <c r="BB8" s="76">
        <f t="shared" si="9"/>
        <v>0.49609069585613769</v>
      </c>
      <c r="BC8" s="76">
        <f t="shared" si="9"/>
        <v>0.4978936282253818</v>
      </c>
    </row>
    <row r="9" spans="1:61" x14ac:dyDescent="0.25">
      <c r="B9" s="25" t="s">
        <v>27</v>
      </c>
      <c r="C9" s="149">
        <f>ROUND('ST Standard from 1 Apr25'!C9+$B$79,2)</f>
        <v>12.81</v>
      </c>
      <c r="D9" s="149">
        <f>ROUND('ST Standard from 1 Apr25'!D9+$B$79,2)</f>
        <v>19</v>
      </c>
      <c r="E9" s="41"/>
      <c r="F9" s="41">
        <f t="shared" si="0"/>
        <v>15.372</v>
      </c>
      <c r="G9" s="41">
        <f t="shared" si="0"/>
        <v>22.8</v>
      </c>
      <c r="H9" s="82"/>
      <c r="I9" s="41">
        <f t="shared" si="10"/>
        <v>2.5619999999999994</v>
      </c>
      <c r="J9" s="41">
        <f t="shared" si="10"/>
        <v>3.8000000000000007</v>
      </c>
      <c r="K9" s="82"/>
      <c r="L9" s="41">
        <f t="shared" si="1"/>
        <v>16.907</v>
      </c>
      <c r="M9" s="41">
        <f t="shared" si="1"/>
        <v>25.080000000000002</v>
      </c>
      <c r="N9" s="82"/>
      <c r="O9" s="41">
        <f t="shared" si="11"/>
        <v>4.0969999999999995</v>
      </c>
      <c r="P9" s="41">
        <f t="shared" si="11"/>
        <v>6.0800000000000018</v>
      </c>
      <c r="Q9" s="82"/>
      <c r="R9" s="76">
        <f t="shared" si="2"/>
        <v>0.10018214936247724</v>
      </c>
      <c r="S9" s="76">
        <f t="shared" si="2"/>
        <v>9.9999999999999992E-2</v>
      </c>
      <c r="T9" s="82"/>
      <c r="U9" s="41">
        <f t="shared" si="3"/>
        <v>25.62</v>
      </c>
      <c r="V9" s="41">
        <f t="shared" si="3"/>
        <v>38</v>
      </c>
      <c r="W9" s="82"/>
      <c r="X9" s="41">
        <f t="shared" si="12"/>
        <v>30.74</v>
      </c>
      <c r="Y9" s="41">
        <f t="shared" si="12"/>
        <v>45.6</v>
      </c>
      <c r="AA9" s="182">
        <f t="shared" si="13"/>
        <v>30.7</v>
      </c>
      <c r="AB9" s="182">
        <f t="shared" si="13"/>
        <v>45.6</v>
      </c>
      <c r="AD9" s="40">
        <f t="shared" si="14"/>
        <v>25.583333333333332</v>
      </c>
      <c r="AE9" s="40">
        <f t="shared" si="14"/>
        <v>38</v>
      </c>
      <c r="AG9" s="40">
        <f t="shared" si="15"/>
        <v>3.9999999999999147E-2</v>
      </c>
      <c r="AH9" s="40">
        <f t="shared" si="15"/>
        <v>0</v>
      </c>
      <c r="AJ9" s="40">
        <f t="shared" si="4"/>
        <v>1.54</v>
      </c>
      <c r="AK9" s="40">
        <f t="shared" si="4"/>
        <v>2.2799999999999998</v>
      </c>
      <c r="AL9" s="40"/>
      <c r="AM9" s="180">
        <f t="shared" si="16"/>
        <v>10.208000000000002</v>
      </c>
      <c r="AN9" s="180">
        <f t="shared" si="17"/>
        <v>15.2</v>
      </c>
      <c r="AP9" s="76">
        <f t="shared" si="5"/>
        <v>9.9999999999999978E-2</v>
      </c>
      <c r="AQ9" s="76">
        <f t="shared" si="5"/>
        <v>0.10000000000000002</v>
      </c>
      <c r="AS9" s="76">
        <f t="shared" si="6"/>
        <v>0.39843871975019524</v>
      </c>
      <c r="AT9" s="76">
        <f t="shared" si="6"/>
        <v>0.39999999999999997</v>
      </c>
      <c r="AV9" s="76">
        <f t="shared" si="7"/>
        <v>0.5</v>
      </c>
      <c r="AW9" s="76">
        <f t="shared" si="7"/>
        <v>0.5</v>
      </c>
      <c r="AX9" s="42"/>
      <c r="AY9" s="42">
        <f t="shared" si="8"/>
        <v>12.770000000000001</v>
      </c>
      <c r="AZ9" s="42">
        <f t="shared" si="8"/>
        <v>19</v>
      </c>
      <c r="BA9" s="42"/>
      <c r="BB9" s="76">
        <f t="shared" si="9"/>
        <v>0.49843871975019521</v>
      </c>
      <c r="BC9" s="76">
        <f t="shared" si="9"/>
        <v>0.5</v>
      </c>
    </row>
    <row r="10" spans="1:61" x14ac:dyDescent="0.25">
      <c r="B10" s="25"/>
      <c r="C10" s="41"/>
      <c r="D10" s="41"/>
      <c r="E10" s="41"/>
      <c r="F10" s="41"/>
      <c r="G10" s="41"/>
      <c r="H10" s="4"/>
      <c r="I10" s="4"/>
      <c r="J10" s="4"/>
      <c r="K10" s="4"/>
      <c r="L10" s="41"/>
      <c r="M10" s="41"/>
      <c r="N10" s="4"/>
      <c r="O10" s="4"/>
      <c r="P10" s="4"/>
      <c r="Q10" s="4"/>
      <c r="R10" s="78"/>
      <c r="T10" s="4"/>
      <c r="U10" s="4"/>
      <c r="V10" s="4"/>
      <c r="W10" s="4"/>
      <c r="AJ10" s="40"/>
      <c r="AK10" s="40"/>
      <c r="AL10" s="40"/>
      <c r="AS10" s="103"/>
      <c r="AT10" s="103"/>
      <c r="AV10" s="40"/>
      <c r="AW10" s="40"/>
      <c r="BB10" s="77"/>
      <c r="BC10" s="77"/>
    </row>
    <row r="11" spans="1:61" x14ac:dyDescent="0.25">
      <c r="B11" s="32" t="s">
        <v>28</v>
      </c>
      <c r="C11" s="41"/>
      <c r="D11" s="41"/>
      <c r="E11" s="41"/>
      <c r="F11" s="41"/>
      <c r="G11" s="41"/>
      <c r="H11" s="4"/>
      <c r="I11" s="4"/>
      <c r="J11" s="4"/>
      <c r="K11" s="4"/>
      <c r="L11" s="41"/>
      <c r="M11" s="41"/>
      <c r="N11" s="4"/>
      <c r="O11" s="4"/>
      <c r="P11" s="4"/>
      <c r="Q11" s="4"/>
      <c r="R11" s="78"/>
      <c r="T11" s="4"/>
      <c r="U11" s="4"/>
      <c r="V11" s="4"/>
      <c r="W11" s="4"/>
      <c r="AJ11" s="40"/>
      <c r="AK11" s="40"/>
      <c r="AL11" s="40"/>
      <c r="AS11" s="103"/>
      <c r="AT11" s="103"/>
      <c r="AV11" s="40"/>
      <c r="AW11" s="40"/>
      <c r="BB11" s="77"/>
      <c r="BC11" s="77"/>
    </row>
    <row r="12" spans="1:61" x14ac:dyDescent="0.25">
      <c r="B12" s="25" t="s">
        <v>23</v>
      </c>
      <c r="C12" s="149">
        <f>ROUND('ST Standard from 1 Apr25'!C12+$B$79,2)</f>
        <v>12.65</v>
      </c>
      <c r="D12" s="149">
        <f>ROUND('ST Standard from 1 Apr25'!D12+$B$79,2)</f>
        <v>20.170000000000002</v>
      </c>
      <c r="E12" s="41"/>
      <c r="F12" s="41">
        <f t="shared" ref="F12:G17" si="18">C12*SUM(1+$G$1/$X$1)</f>
        <v>15.18</v>
      </c>
      <c r="G12" s="41">
        <f t="shared" si="18"/>
        <v>24.204000000000001</v>
      </c>
      <c r="H12" s="82"/>
      <c r="I12" s="41">
        <f t="shared" ref="I12:J17" si="19">F12-C12</f>
        <v>2.5299999999999994</v>
      </c>
      <c r="J12" s="41">
        <f t="shared" si="19"/>
        <v>4.0339999999999989</v>
      </c>
      <c r="K12" s="82"/>
      <c r="L12" s="41">
        <f t="shared" ref="L12:M17" si="20">ROUND(C12*(1+$G$1*2),2)*SUM(1+$M$1)</f>
        <v>16.698</v>
      </c>
      <c r="M12" s="41">
        <f t="shared" si="20"/>
        <v>26.62</v>
      </c>
      <c r="N12" s="82"/>
      <c r="O12" s="41">
        <f t="shared" ref="O12:P17" si="21">L12-C12</f>
        <v>4.048</v>
      </c>
      <c r="P12" s="41">
        <f t="shared" si="21"/>
        <v>6.4499999999999993</v>
      </c>
      <c r="Q12" s="82"/>
      <c r="R12" s="76">
        <f t="shared" ref="R12:S17" si="22">AJ12/F12</f>
        <v>0.10013175230566536</v>
      </c>
      <c r="S12" s="76">
        <f t="shared" si="22"/>
        <v>9.9983473805982478E-2</v>
      </c>
      <c r="T12" s="82"/>
      <c r="U12" s="41">
        <f t="shared" ref="U12:V17" si="23">SUM(C12/(1-$X$1))</f>
        <v>25.3</v>
      </c>
      <c r="V12" s="41">
        <f t="shared" si="23"/>
        <v>40.340000000000003</v>
      </c>
      <c r="W12" s="82"/>
      <c r="X12" s="41">
        <f t="shared" ref="X12:Y17" si="24">ROUND(C12/(1-$X$1)*1.2,2)</f>
        <v>30.36</v>
      </c>
      <c r="Y12" s="41">
        <f t="shared" si="24"/>
        <v>48.41</v>
      </c>
      <c r="AA12" s="182">
        <f>ROUNDDOWN(C12/(1-$X$1)*1.2,1)</f>
        <v>30.3</v>
      </c>
      <c r="AB12" s="182">
        <f>ROUNDDOWN(D12/(1-$X$1)*1.2,1)</f>
        <v>48.4</v>
      </c>
      <c r="AD12" s="40">
        <f t="shared" ref="AD12:AE17" si="25">AA12/1.2</f>
        <v>25.25</v>
      </c>
      <c r="AE12" s="40">
        <f t="shared" si="25"/>
        <v>40.333333333333336</v>
      </c>
      <c r="AG12" s="40">
        <f>X12-AA12</f>
        <v>5.9999999999998721E-2</v>
      </c>
      <c r="AH12" s="40">
        <f>Y12-AB12</f>
        <v>9.9999999999980105E-3</v>
      </c>
      <c r="AJ12" s="40">
        <f t="shared" ref="AJ12:AK17" si="26">ROUND(L12*(1-(1/(1+$AL$1))),2)</f>
        <v>1.52</v>
      </c>
      <c r="AK12" s="40">
        <f t="shared" si="26"/>
        <v>2.42</v>
      </c>
      <c r="AL12" s="40"/>
      <c r="AM12" s="180">
        <f>SUM(U12-F12)-AG12</f>
        <v>10.060000000000002</v>
      </c>
      <c r="AN12" s="180">
        <f>SUM(V12-G12)-AH12</f>
        <v>16.126000000000005</v>
      </c>
      <c r="AP12" s="76">
        <f t="shared" ref="AP12:AQ17" si="27">(SUM(F12-C12)/C12)*$X$1</f>
        <v>9.9999999999999978E-2</v>
      </c>
      <c r="AQ12" s="76">
        <f t="shared" si="27"/>
        <v>9.9999999999999964E-2</v>
      </c>
      <c r="AS12" s="76">
        <f t="shared" ref="AS12:AT17" si="28">AM12/U12</f>
        <v>0.39762845849802381</v>
      </c>
      <c r="AT12" s="76">
        <f t="shared" si="28"/>
        <v>0.3997521070897373</v>
      </c>
      <c r="AV12" s="76">
        <f t="shared" ref="AV12:AW17" si="29">C12/U12</f>
        <v>0.5</v>
      </c>
      <c r="AW12" s="76">
        <f t="shared" si="29"/>
        <v>0.5</v>
      </c>
      <c r="AX12" s="42"/>
      <c r="AY12" s="42">
        <f t="shared" ref="AY12:AZ17" si="30">I12+AM12</f>
        <v>12.590000000000002</v>
      </c>
      <c r="AZ12" s="42">
        <f t="shared" si="30"/>
        <v>20.160000000000004</v>
      </c>
      <c r="BA12" s="42"/>
      <c r="BB12" s="76">
        <f t="shared" ref="BB12:BC17" si="31">AY12/(C12/$X$1)</f>
        <v>0.49762845849802378</v>
      </c>
      <c r="BC12" s="76">
        <f t="shared" si="31"/>
        <v>0.49975210708973727</v>
      </c>
    </row>
    <row r="13" spans="1:61" x14ac:dyDescent="0.25">
      <c r="B13" s="25" t="s">
        <v>24</v>
      </c>
      <c r="C13" s="149">
        <f>ROUND('ST Standard from 1 Apr25'!C13+$B$79,2)</f>
        <v>15.98</v>
      </c>
      <c r="D13" s="149">
        <f>ROUND('ST Standard from 1 Apr25'!D13+$B$79,2)</f>
        <v>23.93</v>
      </c>
      <c r="E13" s="41"/>
      <c r="F13" s="41">
        <f t="shared" si="18"/>
        <v>19.175999999999998</v>
      </c>
      <c r="G13" s="41">
        <f t="shared" si="18"/>
        <v>28.715999999999998</v>
      </c>
      <c r="H13" s="82"/>
      <c r="I13" s="41">
        <f t="shared" si="19"/>
        <v>3.195999999999998</v>
      </c>
      <c r="J13" s="41">
        <f t="shared" si="19"/>
        <v>4.7859999999999978</v>
      </c>
      <c r="K13" s="82"/>
      <c r="L13" s="41">
        <f t="shared" si="20"/>
        <v>21.098000000000003</v>
      </c>
      <c r="M13" s="41">
        <f t="shared" si="20"/>
        <v>31.592000000000002</v>
      </c>
      <c r="N13" s="82"/>
      <c r="O13" s="41">
        <f t="shared" si="21"/>
        <v>5.1180000000000021</v>
      </c>
      <c r="P13" s="41">
        <f t="shared" si="21"/>
        <v>7.6620000000000026</v>
      </c>
      <c r="Q13" s="82"/>
      <c r="R13" s="76">
        <f t="shared" si="22"/>
        <v>0.10012515644555695</v>
      </c>
      <c r="S13" s="76">
        <f t="shared" si="22"/>
        <v>9.9944281933416923E-2</v>
      </c>
      <c r="T13" s="82"/>
      <c r="U13" s="41">
        <f t="shared" si="23"/>
        <v>31.96</v>
      </c>
      <c r="V13" s="41">
        <f t="shared" si="23"/>
        <v>47.86</v>
      </c>
      <c r="W13" s="82"/>
      <c r="X13" s="41">
        <f t="shared" si="24"/>
        <v>38.35</v>
      </c>
      <c r="Y13" s="41">
        <f t="shared" si="24"/>
        <v>57.43</v>
      </c>
      <c r="AA13" s="182">
        <f t="shared" ref="AA13:AB16" si="32">ROUNDDOWN(C13/(1-$X$1)*1.2,1)</f>
        <v>38.299999999999997</v>
      </c>
      <c r="AB13" s="182">
        <f t="shared" si="32"/>
        <v>57.4</v>
      </c>
      <c r="AD13" s="40">
        <f t="shared" si="25"/>
        <v>31.916666666666664</v>
      </c>
      <c r="AE13" s="40">
        <f t="shared" si="25"/>
        <v>47.833333333333336</v>
      </c>
      <c r="AG13" s="40">
        <f t="shared" ref="AG13:AH17" si="33">X13-AA13</f>
        <v>5.0000000000004263E-2</v>
      </c>
      <c r="AH13" s="40">
        <f t="shared" si="33"/>
        <v>3.0000000000001137E-2</v>
      </c>
      <c r="AJ13" s="40">
        <f t="shared" si="26"/>
        <v>1.92</v>
      </c>
      <c r="AK13" s="40">
        <f t="shared" si="26"/>
        <v>2.87</v>
      </c>
      <c r="AL13" s="40"/>
      <c r="AM13" s="180">
        <f t="shared" ref="AM13:AM17" si="34">SUM(U13-F13)-AG13</f>
        <v>12.733999999999998</v>
      </c>
      <c r="AN13" s="180">
        <f t="shared" ref="AN13:AN17" si="35">SUM(V13-G13)-AH13</f>
        <v>19.114000000000001</v>
      </c>
      <c r="AP13" s="76">
        <f t="shared" si="27"/>
        <v>9.9999999999999936E-2</v>
      </c>
      <c r="AQ13" s="76">
        <f t="shared" si="27"/>
        <v>9.999999999999995E-2</v>
      </c>
      <c r="AS13" s="76">
        <f t="shared" si="28"/>
        <v>0.39843554443053808</v>
      </c>
      <c r="AT13" s="76">
        <f t="shared" si="28"/>
        <v>0.39937317175094028</v>
      </c>
      <c r="AV13" s="76">
        <f t="shared" si="29"/>
        <v>0.5</v>
      </c>
      <c r="AW13" s="76">
        <f t="shared" si="29"/>
        <v>0.5</v>
      </c>
      <c r="AX13" s="42"/>
      <c r="AY13" s="42">
        <f t="shared" si="30"/>
        <v>15.929999999999996</v>
      </c>
      <c r="AZ13" s="42">
        <f t="shared" si="30"/>
        <v>23.9</v>
      </c>
      <c r="BA13" s="42"/>
      <c r="BB13" s="76">
        <f t="shared" si="31"/>
        <v>0.49843554443053806</v>
      </c>
      <c r="BC13" s="76">
        <f t="shared" si="31"/>
        <v>0.4993731717509402</v>
      </c>
    </row>
    <row r="14" spans="1:61" x14ac:dyDescent="0.25">
      <c r="B14" s="25" t="s">
        <v>25</v>
      </c>
      <c r="C14" s="149">
        <f>ROUND('ST Standard from 1 Apr25'!C14+$B$79,2)</f>
        <v>18.63</v>
      </c>
      <c r="D14" s="149">
        <f>ROUND('ST Standard from 1 Apr25'!D14+$B$79,2)</f>
        <v>26.71</v>
      </c>
      <c r="E14" s="41"/>
      <c r="F14" s="41">
        <f t="shared" si="18"/>
        <v>22.355999999999998</v>
      </c>
      <c r="G14" s="41">
        <f t="shared" si="18"/>
        <v>32.052</v>
      </c>
      <c r="H14" s="82"/>
      <c r="I14" s="41">
        <f t="shared" si="19"/>
        <v>3.7259999999999991</v>
      </c>
      <c r="J14" s="41">
        <f t="shared" si="19"/>
        <v>5.3419999999999987</v>
      </c>
      <c r="K14" s="82"/>
      <c r="L14" s="41">
        <f t="shared" si="20"/>
        <v>24.596</v>
      </c>
      <c r="M14" s="41">
        <f t="shared" si="20"/>
        <v>35.255000000000003</v>
      </c>
      <c r="N14" s="82"/>
      <c r="O14" s="41">
        <f t="shared" si="21"/>
        <v>5.9660000000000011</v>
      </c>
      <c r="P14" s="41">
        <f t="shared" si="21"/>
        <v>8.5450000000000017</v>
      </c>
      <c r="Q14" s="82"/>
      <c r="R14" s="76">
        <f t="shared" si="22"/>
        <v>0.1001968151726606</v>
      </c>
      <c r="S14" s="76">
        <f t="shared" si="22"/>
        <v>0.10014975664545114</v>
      </c>
      <c r="T14" s="82"/>
      <c r="U14" s="41">
        <f t="shared" si="23"/>
        <v>37.26</v>
      </c>
      <c r="V14" s="41">
        <f t="shared" si="23"/>
        <v>53.42</v>
      </c>
      <c r="W14" s="82"/>
      <c r="X14" s="41">
        <f t="shared" si="24"/>
        <v>44.71</v>
      </c>
      <c r="Y14" s="41">
        <f t="shared" si="24"/>
        <v>64.099999999999994</v>
      </c>
      <c r="AA14" s="182">
        <f t="shared" si="32"/>
        <v>44.7</v>
      </c>
      <c r="AB14" s="182">
        <f t="shared" si="32"/>
        <v>64.099999999999994</v>
      </c>
      <c r="AD14" s="40">
        <f t="shared" si="25"/>
        <v>37.250000000000007</v>
      </c>
      <c r="AE14" s="40">
        <f t="shared" si="25"/>
        <v>53.416666666666664</v>
      </c>
      <c r="AG14" s="40">
        <f t="shared" si="33"/>
        <v>9.9999999999980105E-3</v>
      </c>
      <c r="AH14" s="40">
        <f t="shared" si="33"/>
        <v>0</v>
      </c>
      <c r="AJ14" s="40">
        <f t="shared" si="26"/>
        <v>2.2400000000000002</v>
      </c>
      <c r="AK14" s="40">
        <f t="shared" si="26"/>
        <v>3.21</v>
      </c>
      <c r="AL14" s="40"/>
      <c r="AM14" s="180">
        <f t="shared" si="34"/>
        <v>14.894000000000002</v>
      </c>
      <c r="AN14" s="180">
        <f t="shared" si="35"/>
        <v>21.368000000000002</v>
      </c>
      <c r="AP14" s="76">
        <f t="shared" si="27"/>
        <v>9.9999999999999978E-2</v>
      </c>
      <c r="AQ14" s="76">
        <f t="shared" si="27"/>
        <v>9.9999999999999978E-2</v>
      </c>
      <c r="AS14" s="76">
        <f t="shared" si="28"/>
        <v>0.39973161567364474</v>
      </c>
      <c r="AT14" s="76">
        <f t="shared" si="28"/>
        <v>0.4</v>
      </c>
      <c r="AV14" s="76">
        <f t="shared" si="29"/>
        <v>0.5</v>
      </c>
      <c r="AW14" s="76">
        <f t="shared" si="29"/>
        <v>0.5</v>
      </c>
      <c r="AX14" s="42"/>
      <c r="AY14" s="42">
        <f t="shared" si="30"/>
        <v>18.62</v>
      </c>
      <c r="AZ14" s="42">
        <f t="shared" si="30"/>
        <v>26.71</v>
      </c>
      <c r="BA14" s="42"/>
      <c r="BB14" s="76">
        <f t="shared" si="31"/>
        <v>0.49973161567364471</v>
      </c>
      <c r="BC14" s="76">
        <f t="shared" si="31"/>
        <v>0.5</v>
      </c>
    </row>
    <row r="15" spans="1:61" x14ac:dyDescent="0.25">
      <c r="B15" s="25" t="s">
        <v>26</v>
      </c>
      <c r="C15" s="149">
        <f>ROUND('ST Standard from 1 Apr25'!C15+$B$79,2)</f>
        <v>24.27</v>
      </c>
      <c r="D15" s="149">
        <f>ROUND('ST Standard from 1 Apr25'!D15+$B$79,2)</f>
        <v>33.799999999999997</v>
      </c>
      <c r="E15" s="41"/>
      <c r="F15" s="41">
        <f t="shared" si="18"/>
        <v>29.123999999999999</v>
      </c>
      <c r="G15" s="41">
        <f t="shared" si="18"/>
        <v>40.559999999999995</v>
      </c>
      <c r="H15" s="82"/>
      <c r="I15" s="41">
        <f t="shared" si="19"/>
        <v>4.8539999999999992</v>
      </c>
      <c r="J15" s="41">
        <f t="shared" si="19"/>
        <v>6.759999999999998</v>
      </c>
      <c r="K15" s="82"/>
      <c r="L15" s="41">
        <f t="shared" si="20"/>
        <v>32.032000000000004</v>
      </c>
      <c r="M15" s="41">
        <f t="shared" si="20"/>
        <v>44.616000000000007</v>
      </c>
      <c r="N15" s="82"/>
      <c r="O15" s="41">
        <f t="shared" si="21"/>
        <v>7.762000000000004</v>
      </c>
      <c r="P15" s="41">
        <f t="shared" si="21"/>
        <v>10.81600000000001</v>
      </c>
      <c r="Q15" s="82"/>
      <c r="R15" s="76">
        <f t="shared" si="22"/>
        <v>9.9917593737124027E-2</v>
      </c>
      <c r="S15" s="76">
        <f t="shared" si="22"/>
        <v>0.10009861932938856</v>
      </c>
      <c r="T15" s="82"/>
      <c r="U15" s="41">
        <f t="shared" si="23"/>
        <v>48.54</v>
      </c>
      <c r="V15" s="41">
        <f t="shared" si="23"/>
        <v>67.599999999999994</v>
      </c>
      <c r="W15" s="82"/>
      <c r="X15" s="41">
        <f t="shared" si="24"/>
        <v>58.25</v>
      </c>
      <c r="Y15" s="41">
        <f t="shared" si="24"/>
        <v>81.12</v>
      </c>
      <c r="AA15" s="182">
        <f t="shared" si="32"/>
        <v>58.2</v>
      </c>
      <c r="AB15" s="182">
        <f t="shared" si="32"/>
        <v>81.099999999999994</v>
      </c>
      <c r="AD15" s="40">
        <f t="shared" si="25"/>
        <v>48.500000000000007</v>
      </c>
      <c r="AE15" s="40">
        <f t="shared" si="25"/>
        <v>67.583333333333329</v>
      </c>
      <c r="AG15" s="40">
        <f t="shared" si="33"/>
        <v>4.9999999999997158E-2</v>
      </c>
      <c r="AH15" s="40">
        <f t="shared" si="33"/>
        <v>2.0000000000010232E-2</v>
      </c>
      <c r="AJ15" s="40">
        <f t="shared" si="26"/>
        <v>2.91</v>
      </c>
      <c r="AK15" s="40">
        <f t="shared" si="26"/>
        <v>4.0599999999999996</v>
      </c>
      <c r="AL15" s="40"/>
      <c r="AM15" s="180">
        <f t="shared" si="34"/>
        <v>19.366000000000003</v>
      </c>
      <c r="AN15" s="180">
        <f t="shared" si="35"/>
        <v>27.019999999999989</v>
      </c>
      <c r="AP15" s="76">
        <f t="shared" si="27"/>
        <v>9.9999999999999992E-2</v>
      </c>
      <c r="AQ15" s="76">
        <f t="shared" si="27"/>
        <v>9.9999999999999978E-2</v>
      </c>
      <c r="AS15" s="76">
        <f t="shared" si="28"/>
        <v>0.39896992171405032</v>
      </c>
      <c r="AT15" s="76">
        <f t="shared" si="28"/>
        <v>0.39970414201183418</v>
      </c>
      <c r="AV15" s="76">
        <f t="shared" si="29"/>
        <v>0.5</v>
      </c>
      <c r="AW15" s="76">
        <f t="shared" si="29"/>
        <v>0.5</v>
      </c>
      <c r="AX15" s="42"/>
      <c r="AY15" s="42">
        <f t="shared" si="30"/>
        <v>24.220000000000002</v>
      </c>
      <c r="AZ15" s="42">
        <f t="shared" si="30"/>
        <v>33.779999999999987</v>
      </c>
      <c r="BA15" s="42"/>
      <c r="BB15" s="76">
        <f t="shared" si="31"/>
        <v>0.4989699217140503</v>
      </c>
      <c r="BC15" s="76">
        <f t="shared" si="31"/>
        <v>0.49970414201183416</v>
      </c>
    </row>
    <row r="16" spans="1:61" x14ac:dyDescent="0.25">
      <c r="B16" s="25" t="s">
        <v>27</v>
      </c>
      <c r="C16" s="149">
        <f>ROUND('ST Standard from 1 Apr25'!C16+$B$79,2)</f>
        <v>28.45</v>
      </c>
      <c r="D16" s="149">
        <f>ROUND('ST Standard from 1 Apr25'!D16+$B$79,2)</f>
        <v>39.42</v>
      </c>
      <c r="E16" s="41"/>
      <c r="F16" s="41">
        <f t="shared" si="18"/>
        <v>34.14</v>
      </c>
      <c r="G16" s="41">
        <f t="shared" si="18"/>
        <v>47.304000000000002</v>
      </c>
      <c r="H16" s="82"/>
      <c r="I16" s="41">
        <f t="shared" si="19"/>
        <v>5.6900000000000013</v>
      </c>
      <c r="J16" s="41">
        <f t="shared" si="19"/>
        <v>7.8840000000000003</v>
      </c>
      <c r="K16" s="82"/>
      <c r="L16" s="41">
        <f t="shared" si="20"/>
        <v>37.554000000000002</v>
      </c>
      <c r="M16" s="41">
        <f t="shared" si="20"/>
        <v>52.03</v>
      </c>
      <c r="N16" s="82"/>
      <c r="O16" s="41">
        <f t="shared" si="21"/>
        <v>9.1040000000000028</v>
      </c>
      <c r="P16" s="41">
        <f t="shared" si="21"/>
        <v>12.61</v>
      </c>
      <c r="Q16" s="82"/>
      <c r="R16" s="76">
        <f t="shared" si="22"/>
        <v>9.9882835383714119E-2</v>
      </c>
      <c r="S16" s="76">
        <f t="shared" si="22"/>
        <v>9.9991544055471004E-2</v>
      </c>
      <c r="T16" s="82"/>
      <c r="U16" s="41">
        <f t="shared" si="23"/>
        <v>56.9</v>
      </c>
      <c r="V16" s="41">
        <f t="shared" si="23"/>
        <v>78.84</v>
      </c>
      <c r="W16" s="82"/>
      <c r="X16" s="41">
        <f t="shared" si="24"/>
        <v>68.28</v>
      </c>
      <c r="Y16" s="41">
        <f t="shared" si="24"/>
        <v>94.61</v>
      </c>
      <c r="AA16" s="182">
        <f t="shared" si="32"/>
        <v>68.2</v>
      </c>
      <c r="AB16" s="182">
        <f t="shared" si="32"/>
        <v>94.6</v>
      </c>
      <c r="AD16" s="40">
        <f t="shared" si="25"/>
        <v>56.833333333333336</v>
      </c>
      <c r="AE16" s="40">
        <f t="shared" si="25"/>
        <v>78.833333333333329</v>
      </c>
      <c r="AG16" s="40">
        <f t="shared" si="33"/>
        <v>7.9999999999998295E-2</v>
      </c>
      <c r="AH16" s="40">
        <f t="shared" si="33"/>
        <v>1.0000000000005116E-2</v>
      </c>
      <c r="AJ16" s="40">
        <f t="shared" si="26"/>
        <v>3.41</v>
      </c>
      <c r="AK16" s="40">
        <f t="shared" si="26"/>
        <v>4.7300000000000004</v>
      </c>
      <c r="AL16" s="40"/>
      <c r="AM16" s="180">
        <f t="shared" si="34"/>
        <v>22.68</v>
      </c>
      <c r="AN16" s="180">
        <f t="shared" si="35"/>
        <v>31.525999999999996</v>
      </c>
      <c r="AP16" s="76">
        <f t="shared" si="27"/>
        <v>0.10000000000000002</v>
      </c>
      <c r="AQ16" s="76">
        <f t="shared" si="27"/>
        <v>0.1</v>
      </c>
      <c r="AS16" s="76">
        <f t="shared" si="28"/>
        <v>0.39859402460456944</v>
      </c>
      <c r="AT16" s="76">
        <f t="shared" si="28"/>
        <v>0.39987316083206487</v>
      </c>
      <c r="AV16" s="76">
        <f t="shared" si="29"/>
        <v>0.5</v>
      </c>
      <c r="AW16" s="76">
        <f t="shared" si="29"/>
        <v>0.5</v>
      </c>
      <c r="AX16" s="42"/>
      <c r="AY16" s="42">
        <f t="shared" si="30"/>
        <v>28.37</v>
      </c>
      <c r="AZ16" s="42">
        <f t="shared" si="30"/>
        <v>39.409999999999997</v>
      </c>
      <c r="BA16" s="42"/>
      <c r="BB16" s="76">
        <f t="shared" si="31"/>
        <v>0.49859402460456947</v>
      </c>
      <c r="BC16" s="76">
        <f t="shared" si="31"/>
        <v>0.4998731608320649</v>
      </c>
    </row>
    <row r="17" spans="2:55" x14ac:dyDescent="0.25">
      <c r="B17" s="25" t="s">
        <v>29</v>
      </c>
      <c r="C17" s="149">
        <f>ROUND('ST Standard from 1 Apr25'!C17+$B$79,2)</f>
        <v>4.6900000000000004</v>
      </c>
      <c r="D17" s="149">
        <f>ROUND('ST Standard from 1 Apr25'!D17+$B$79,2)</f>
        <v>6</v>
      </c>
      <c r="E17" s="41"/>
      <c r="F17" s="41">
        <f t="shared" si="18"/>
        <v>5.6280000000000001</v>
      </c>
      <c r="G17" s="41">
        <f t="shared" si="18"/>
        <v>7.1999999999999993</v>
      </c>
      <c r="H17" s="82"/>
      <c r="I17" s="41">
        <f t="shared" si="19"/>
        <v>0.93799999999999972</v>
      </c>
      <c r="J17" s="41">
        <f t="shared" si="19"/>
        <v>1.1999999999999993</v>
      </c>
      <c r="K17" s="82"/>
      <c r="L17" s="41">
        <f t="shared" si="20"/>
        <v>6.1930000000000005</v>
      </c>
      <c r="M17" s="41">
        <f t="shared" si="20"/>
        <v>7.9200000000000008</v>
      </c>
      <c r="N17" s="82"/>
      <c r="O17" s="41">
        <f t="shared" si="21"/>
        <v>1.5030000000000001</v>
      </c>
      <c r="P17" s="41">
        <f t="shared" si="21"/>
        <v>1.9200000000000008</v>
      </c>
      <c r="Q17" s="82"/>
      <c r="R17" s="76">
        <f t="shared" si="22"/>
        <v>9.950248756218906E-2</v>
      </c>
      <c r="S17" s="76">
        <f t="shared" si="22"/>
        <v>0.1</v>
      </c>
      <c r="T17" s="82"/>
      <c r="U17" s="41">
        <f t="shared" si="23"/>
        <v>9.3800000000000008</v>
      </c>
      <c r="V17" s="41">
        <f t="shared" si="23"/>
        <v>12</v>
      </c>
      <c r="W17" s="82"/>
      <c r="X17" s="41">
        <f t="shared" si="24"/>
        <v>11.26</v>
      </c>
      <c r="Y17" s="41">
        <f t="shared" si="24"/>
        <v>14.4</v>
      </c>
      <c r="AA17" s="182">
        <f>ROUNDDOWN(C17/(1-$X$1)*1.2,1)</f>
        <v>11.2</v>
      </c>
      <c r="AB17" s="182">
        <f>ROUNDDOWN(D17/(1-$X$1)*1.2,1)</f>
        <v>14.4</v>
      </c>
      <c r="AD17" s="40">
        <f t="shared" si="25"/>
        <v>9.3333333333333339</v>
      </c>
      <c r="AE17" s="40">
        <f t="shared" si="25"/>
        <v>12</v>
      </c>
      <c r="AG17" s="40">
        <f t="shared" si="33"/>
        <v>6.0000000000000497E-2</v>
      </c>
      <c r="AH17" s="40">
        <f t="shared" si="33"/>
        <v>0</v>
      </c>
      <c r="AJ17" s="40">
        <f t="shared" si="26"/>
        <v>0.56000000000000005</v>
      </c>
      <c r="AK17" s="40">
        <f t="shared" si="26"/>
        <v>0.72</v>
      </c>
      <c r="AL17" s="40"/>
      <c r="AM17" s="180">
        <f t="shared" si="34"/>
        <v>3.6920000000000002</v>
      </c>
      <c r="AN17" s="180">
        <f t="shared" si="35"/>
        <v>4.8000000000000007</v>
      </c>
      <c r="AP17" s="76">
        <f t="shared" si="27"/>
        <v>9.9999999999999964E-2</v>
      </c>
      <c r="AQ17" s="76">
        <f t="shared" si="27"/>
        <v>9.9999999999999936E-2</v>
      </c>
      <c r="AS17" s="76">
        <f t="shared" si="28"/>
        <v>0.39360341151385925</v>
      </c>
      <c r="AT17" s="76">
        <f t="shared" si="28"/>
        <v>0.40000000000000008</v>
      </c>
      <c r="AV17" s="76">
        <f t="shared" si="29"/>
        <v>0.5</v>
      </c>
      <c r="AW17" s="76">
        <f t="shared" si="29"/>
        <v>0.5</v>
      </c>
      <c r="AX17" s="42"/>
      <c r="AY17" s="42">
        <f t="shared" si="30"/>
        <v>4.63</v>
      </c>
      <c r="AZ17" s="42">
        <f t="shared" si="30"/>
        <v>6</v>
      </c>
      <c r="BA17" s="42"/>
      <c r="BB17" s="76">
        <f t="shared" si="31"/>
        <v>0.49360341151385922</v>
      </c>
      <c r="BC17" s="76">
        <f t="shared" si="31"/>
        <v>0.5</v>
      </c>
    </row>
    <row r="18" spans="2:55" x14ac:dyDescent="0.25">
      <c r="B18" s="25"/>
      <c r="C18" s="41"/>
      <c r="D18" s="41"/>
      <c r="E18" s="41"/>
      <c r="F18" s="41"/>
      <c r="G18" s="41"/>
      <c r="H18" s="82"/>
      <c r="I18" s="82"/>
      <c r="J18" s="82"/>
      <c r="K18" s="82"/>
      <c r="L18" s="41"/>
      <c r="M18" s="41"/>
      <c r="N18" s="4"/>
      <c r="O18" s="4"/>
      <c r="P18" s="4"/>
      <c r="Q18" s="4"/>
      <c r="R18" s="78"/>
      <c r="T18" s="4"/>
      <c r="U18" s="4"/>
      <c r="V18" s="4"/>
      <c r="W18" s="4"/>
      <c r="AJ18" s="40"/>
      <c r="AK18" s="40"/>
      <c r="AL18" s="40"/>
      <c r="AS18" s="103"/>
      <c r="AT18" s="103"/>
      <c r="AV18" s="40"/>
      <c r="AW18" s="40"/>
      <c r="BB18" s="77"/>
      <c r="BC18" s="77"/>
    </row>
    <row r="19" spans="2:55" x14ac:dyDescent="0.25">
      <c r="B19" s="32" t="s">
        <v>30</v>
      </c>
      <c r="C19" s="41"/>
      <c r="D19" s="41"/>
      <c r="E19" s="41"/>
      <c r="F19" s="41"/>
      <c r="G19" s="41"/>
      <c r="H19" s="82"/>
      <c r="I19" s="82"/>
      <c r="J19" s="82"/>
      <c r="K19" s="82"/>
      <c r="L19" s="41"/>
      <c r="M19" s="41"/>
      <c r="N19" s="4"/>
      <c r="O19" s="4"/>
      <c r="P19" s="4"/>
      <c r="Q19" s="4"/>
      <c r="R19" s="78"/>
      <c r="T19" s="4"/>
      <c r="U19" s="4"/>
      <c r="V19" s="4"/>
      <c r="W19" s="4"/>
      <c r="AJ19" s="40"/>
      <c r="AK19" s="40"/>
      <c r="AL19" s="40"/>
      <c r="AS19" s="103"/>
      <c r="AT19" s="103"/>
      <c r="AV19" s="40"/>
      <c r="AW19" s="40"/>
      <c r="BB19" s="77"/>
      <c r="BC19" s="77"/>
    </row>
    <row r="20" spans="2:55" x14ac:dyDescent="0.25">
      <c r="B20" s="25" t="s">
        <v>31</v>
      </c>
      <c r="C20" s="149">
        <f>ROUND('ST Standard from 1 Apr25'!C20+$B$80,2)</f>
        <v>26.54</v>
      </c>
      <c r="D20" s="149">
        <f>ROUND('ST Standard from 1 Apr25'!D20+$B$80,2)</f>
        <v>32.409999999999997</v>
      </c>
      <c r="E20" s="41"/>
      <c r="F20" s="41">
        <f t="shared" ref="F20:G25" si="36">C20*SUM(1+$G$1/$X$1)</f>
        <v>31.847999999999999</v>
      </c>
      <c r="G20" s="41">
        <f t="shared" si="36"/>
        <v>38.891999999999996</v>
      </c>
      <c r="H20" s="82"/>
      <c r="I20" s="41">
        <f t="shared" ref="I20:J25" si="37">F20-C20</f>
        <v>5.3079999999999998</v>
      </c>
      <c r="J20" s="41">
        <f t="shared" si="37"/>
        <v>6.4819999999999993</v>
      </c>
      <c r="K20" s="82"/>
      <c r="L20" s="41">
        <f t="shared" ref="L20:M25" si="38">ROUND(C20*(1+$G$1*2),2)*SUM(1+$M$1)</f>
        <v>35.035000000000004</v>
      </c>
      <c r="M20" s="41">
        <f t="shared" si="38"/>
        <v>42.779000000000003</v>
      </c>
      <c r="N20" s="82"/>
      <c r="O20" s="41">
        <f t="shared" ref="O20:P25" si="39">L20-C20</f>
        <v>8.4950000000000045</v>
      </c>
      <c r="P20" s="41">
        <f t="shared" si="39"/>
        <v>10.369000000000007</v>
      </c>
      <c r="Q20" s="82"/>
      <c r="R20" s="76">
        <f t="shared" ref="R20:S25" si="40">AJ20/F20</f>
        <v>0.10016327555890479</v>
      </c>
      <c r="S20" s="76">
        <f t="shared" si="40"/>
        <v>0.1000205697829888</v>
      </c>
      <c r="T20" s="82"/>
      <c r="U20" s="41">
        <f t="shared" ref="U20:V25" si="41">SUM(C20/(1-$X$1))</f>
        <v>53.08</v>
      </c>
      <c r="V20" s="41">
        <f t="shared" si="41"/>
        <v>64.819999999999993</v>
      </c>
      <c r="W20" s="82"/>
      <c r="X20" s="41">
        <f t="shared" ref="X20:Y25" si="42">ROUND(C20/(1-$X$1)*1.2,2)</f>
        <v>63.7</v>
      </c>
      <c r="Y20" s="41">
        <f t="shared" si="42"/>
        <v>77.78</v>
      </c>
      <c r="AA20" s="182">
        <f>ROUNDDOWN(C20/(1-$X$1)*1.2,1)</f>
        <v>63.6</v>
      </c>
      <c r="AB20" s="182">
        <f>ROUNDDOWN(D20/(1-$X$1)*1.2,1)</f>
        <v>77.7</v>
      </c>
      <c r="AD20" s="40">
        <f t="shared" ref="AD20:AE25" si="43">AA20/1.2</f>
        <v>53</v>
      </c>
      <c r="AE20" s="40">
        <f t="shared" si="43"/>
        <v>64.75</v>
      </c>
      <c r="AG20" s="40">
        <f>X20-AA20</f>
        <v>0.10000000000000142</v>
      </c>
      <c r="AH20" s="40">
        <f>Y20-AB20</f>
        <v>7.9999999999998295E-2</v>
      </c>
      <c r="AJ20" s="40">
        <f t="shared" ref="AJ20:AK25" si="44">ROUND(L20*(1-(1/(1+$AL$1))),2)</f>
        <v>3.19</v>
      </c>
      <c r="AK20" s="40">
        <f t="shared" si="44"/>
        <v>3.89</v>
      </c>
      <c r="AL20" s="40"/>
      <c r="AM20" s="180">
        <f>SUM(U20-F20)-AG20</f>
        <v>21.131999999999998</v>
      </c>
      <c r="AN20" s="180">
        <f>SUM(V20-G20)-AH20</f>
        <v>25.847999999999999</v>
      </c>
      <c r="AP20" s="76">
        <f t="shared" ref="AP20:AQ25" si="45">(SUM(F20-C20)/C20)*$X$1</f>
        <v>0.1</v>
      </c>
      <c r="AQ20" s="76">
        <f t="shared" si="45"/>
        <v>0.1</v>
      </c>
      <c r="AS20" s="76">
        <f t="shared" ref="AS20:AT25" si="46">AM20/U20</f>
        <v>0.39811605124340615</v>
      </c>
      <c r="AT20" s="76">
        <f t="shared" si="46"/>
        <v>0.39876581302067265</v>
      </c>
      <c r="AV20" s="76">
        <f t="shared" ref="AV20:AW25" si="47">C20/U20</f>
        <v>0.5</v>
      </c>
      <c r="AW20" s="76">
        <f t="shared" si="47"/>
        <v>0.5</v>
      </c>
      <c r="AX20" s="42"/>
      <c r="AY20" s="42">
        <f t="shared" ref="AY20:AZ25" si="48">I20+AM20</f>
        <v>26.439999999999998</v>
      </c>
      <c r="AZ20" s="42">
        <f t="shared" si="48"/>
        <v>32.33</v>
      </c>
      <c r="BA20" s="42"/>
      <c r="BB20" s="76">
        <f t="shared" ref="BB20:BC25" si="49">AY20/(C20/$X$1)</f>
        <v>0.49811605124340613</v>
      </c>
      <c r="BC20" s="76">
        <f t="shared" si="49"/>
        <v>0.49876581302067263</v>
      </c>
    </row>
    <row r="21" spans="2:55" x14ac:dyDescent="0.25">
      <c r="B21" s="25" t="s">
        <v>24</v>
      </c>
      <c r="C21" s="149">
        <f>ROUND('ST Standard from 1 Apr25'!C21+$B$80,2)</f>
        <v>31.53</v>
      </c>
      <c r="D21" s="149">
        <f>ROUND('ST Standard from 1 Apr25'!D21+$B$80,2)</f>
        <v>35.869999999999997</v>
      </c>
      <c r="E21" s="41"/>
      <c r="F21" s="41">
        <f t="shared" si="36"/>
        <v>37.835999999999999</v>
      </c>
      <c r="G21" s="41">
        <f t="shared" si="36"/>
        <v>43.043999999999997</v>
      </c>
      <c r="H21" s="82"/>
      <c r="I21" s="41">
        <f t="shared" si="37"/>
        <v>6.3059999999999974</v>
      </c>
      <c r="J21" s="41">
        <f t="shared" si="37"/>
        <v>7.1739999999999995</v>
      </c>
      <c r="K21" s="82"/>
      <c r="L21" s="41">
        <f t="shared" si="38"/>
        <v>41.624000000000009</v>
      </c>
      <c r="M21" s="41">
        <f t="shared" si="38"/>
        <v>47.344000000000001</v>
      </c>
      <c r="N21" s="82"/>
      <c r="O21" s="41">
        <f t="shared" si="39"/>
        <v>10.094000000000008</v>
      </c>
      <c r="P21" s="41">
        <f t="shared" si="39"/>
        <v>11.474000000000004</v>
      </c>
      <c r="Q21" s="82"/>
      <c r="R21" s="76">
        <f t="shared" si="40"/>
        <v>9.9904852521408183E-2</v>
      </c>
      <c r="S21" s="76">
        <f t="shared" si="40"/>
        <v>9.9897779016819996E-2</v>
      </c>
      <c r="T21" s="82"/>
      <c r="U21" s="41">
        <f t="shared" si="41"/>
        <v>63.06</v>
      </c>
      <c r="V21" s="41">
        <f t="shared" si="41"/>
        <v>71.739999999999995</v>
      </c>
      <c r="W21" s="82"/>
      <c r="X21" s="41">
        <f t="shared" si="42"/>
        <v>75.67</v>
      </c>
      <c r="Y21" s="41">
        <f t="shared" si="42"/>
        <v>86.09</v>
      </c>
      <c r="AA21" s="182">
        <f t="shared" ref="AA21:AB24" si="50">ROUNDDOWN(C21/(1-$X$1)*1.2,1)</f>
        <v>75.599999999999994</v>
      </c>
      <c r="AB21" s="182">
        <f t="shared" si="50"/>
        <v>86</v>
      </c>
      <c r="AD21" s="40">
        <f t="shared" si="43"/>
        <v>63</v>
      </c>
      <c r="AE21" s="40">
        <f t="shared" si="43"/>
        <v>71.666666666666671</v>
      </c>
      <c r="AG21" s="40">
        <f t="shared" ref="AG21:AH25" si="51">X21-AA21</f>
        <v>7.000000000000739E-2</v>
      </c>
      <c r="AH21" s="40">
        <f t="shared" si="51"/>
        <v>9.0000000000003411E-2</v>
      </c>
      <c r="AJ21" s="40">
        <f t="shared" si="44"/>
        <v>3.78</v>
      </c>
      <c r="AK21" s="40">
        <f t="shared" si="44"/>
        <v>4.3</v>
      </c>
      <c r="AL21" s="40"/>
      <c r="AM21" s="180">
        <f t="shared" ref="AM21:AM25" si="52">SUM(U21-F21)-AG21</f>
        <v>25.153999999999996</v>
      </c>
      <c r="AN21" s="180">
        <f t="shared" ref="AN21:AN25" si="53">SUM(V21-G21)-AH21</f>
        <v>28.605999999999995</v>
      </c>
      <c r="AP21" s="76">
        <f t="shared" si="45"/>
        <v>9.999999999999995E-2</v>
      </c>
      <c r="AQ21" s="76">
        <f t="shared" si="45"/>
        <v>0.1</v>
      </c>
      <c r="AS21" s="76">
        <f t="shared" si="46"/>
        <v>0.39888994608309541</v>
      </c>
      <c r="AT21" s="76">
        <f t="shared" si="46"/>
        <v>0.39874546975188174</v>
      </c>
      <c r="AV21" s="76">
        <f t="shared" si="47"/>
        <v>0.5</v>
      </c>
      <c r="AW21" s="76">
        <f t="shared" si="47"/>
        <v>0.5</v>
      </c>
      <c r="AX21" s="42"/>
      <c r="AY21" s="42">
        <f t="shared" si="48"/>
        <v>31.459999999999994</v>
      </c>
      <c r="AZ21" s="42">
        <f t="shared" si="48"/>
        <v>35.779999999999994</v>
      </c>
      <c r="BA21" s="42"/>
      <c r="BB21" s="76">
        <f t="shared" si="49"/>
        <v>0.49888994608309534</v>
      </c>
      <c r="BC21" s="76">
        <f t="shared" si="49"/>
        <v>0.49874546975188172</v>
      </c>
    </row>
    <row r="22" spans="2:55" x14ac:dyDescent="0.25">
      <c r="B22" s="25" t="s">
        <v>25</v>
      </c>
      <c r="C22" s="149">
        <f>ROUND('ST Standard from 1 Apr25'!C22+$B$80,2)</f>
        <v>38.020000000000003</v>
      </c>
      <c r="D22" s="149">
        <f>ROUND('ST Standard from 1 Apr25'!D22+$B$80,2)</f>
        <v>43.62</v>
      </c>
      <c r="E22" s="41"/>
      <c r="F22" s="41">
        <f t="shared" si="36"/>
        <v>45.624000000000002</v>
      </c>
      <c r="G22" s="41">
        <f t="shared" si="36"/>
        <v>52.343999999999994</v>
      </c>
      <c r="H22" s="82"/>
      <c r="I22" s="41">
        <f t="shared" si="37"/>
        <v>7.6039999999999992</v>
      </c>
      <c r="J22" s="41">
        <f t="shared" si="37"/>
        <v>8.7239999999999966</v>
      </c>
      <c r="K22" s="82"/>
      <c r="L22" s="41">
        <f t="shared" si="38"/>
        <v>50.182000000000002</v>
      </c>
      <c r="M22" s="41">
        <f t="shared" si="38"/>
        <v>57.574000000000005</v>
      </c>
      <c r="N22" s="82"/>
      <c r="O22" s="41">
        <f t="shared" si="39"/>
        <v>12.161999999999999</v>
      </c>
      <c r="P22" s="41">
        <f t="shared" si="39"/>
        <v>13.954000000000008</v>
      </c>
      <c r="Q22" s="82"/>
      <c r="R22" s="76">
        <f t="shared" si="40"/>
        <v>9.9947396107311931E-2</v>
      </c>
      <c r="S22" s="76">
        <f t="shared" si="40"/>
        <v>9.9915940699984732E-2</v>
      </c>
      <c r="T22" s="82"/>
      <c r="U22" s="41">
        <f t="shared" si="41"/>
        <v>76.040000000000006</v>
      </c>
      <c r="V22" s="41">
        <f t="shared" si="41"/>
        <v>87.24</v>
      </c>
      <c r="W22" s="82"/>
      <c r="X22" s="41">
        <f t="shared" si="42"/>
        <v>91.25</v>
      </c>
      <c r="Y22" s="41">
        <f t="shared" si="42"/>
        <v>104.69</v>
      </c>
      <c r="AA22" s="182">
        <f t="shared" si="50"/>
        <v>91.2</v>
      </c>
      <c r="AB22" s="182">
        <f t="shared" si="50"/>
        <v>104.6</v>
      </c>
      <c r="AD22" s="40">
        <f t="shared" si="43"/>
        <v>76</v>
      </c>
      <c r="AE22" s="40">
        <f t="shared" si="43"/>
        <v>87.166666666666671</v>
      </c>
      <c r="AG22" s="40">
        <f t="shared" si="51"/>
        <v>4.9999999999997158E-2</v>
      </c>
      <c r="AH22" s="40">
        <f t="shared" si="51"/>
        <v>9.0000000000003411E-2</v>
      </c>
      <c r="AJ22" s="40">
        <f t="shared" si="44"/>
        <v>4.5599999999999996</v>
      </c>
      <c r="AK22" s="40">
        <f t="shared" si="44"/>
        <v>5.23</v>
      </c>
      <c r="AL22" s="40"/>
      <c r="AM22" s="180">
        <f t="shared" si="52"/>
        <v>30.366000000000007</v>
      </c>
      <c r="AN22" s="180">
        <f t="shared" si="53"/>
        <v>34.805999999999997</v>
      </c>
      <c r="AP22" s="76">
        <f t="shared" si="45"/>
        <v>9.9999999999999978E-2</v>
      </c>
      <c r="AQ22" s="76">
        <f t="shared" si="45"/>
        <v>9.9999999999999964E-2</v>
      </c>
      <c r="AS22" s="76">
        <f t="shared" si="46"/>
        <v>0.39934245134139934</v>
      </c>
      <c r="AT22" s="76">
        <f t="shared" si="46"/>
        <v>0.39896836313617606</v>
      </c>
      <c r="AV22" s="76">
        <f t="shared" si="47"/>
        <v>0.5</v>
      </c>
      <c r="AW22" s="76">
        <f t="shared" si="47"/>
        <v>0.5</v>
      </c>
      <c r="AX22" s="42"/>
      <c r="AY22" s="42">
        <f t="shared" si="48"/>
        <v>37.970000000000006</v>
      </c>
      <c r="AZ22" s="42">
        <f t="shared" si="48"/>
        <v>43.529999999999994</v>
      </c>
      <c r="BA22" s="42"/>
      <c r="BB22" s="76">
        <f t="shared" si="49"/>
        <v>0.49934245134139932</v>
      </c>
      <c r="BC22" s="76">
        <f t="shared" si="49"/>
        <v>0.49896836313617604</v>
      </c>
    </row>
    <row r="23" spans="2:55" x14ac:dyDescent="0.25">
      <c r="B23" s="25" t="s">
        <v>26</v>
      </c>
      <c r="C23" s="149">
        <f>ROUND('ST Standard from 1 Apr25'!C23+$B$80,2)</f>
        <v>46.47</v>
      </c>
      <c r="D23" s="149">
        <f>ROUND('ST Standard from 1 Apr25'!D23+$B$80,2)</f>
        <v>53.32</v>
      </c>
      <c r="E23" s="41"/>
      <c r="F23" s="41">
        <f t="shared" si="36"/>
        <v>55.763999999999996</v>
      </c>
      <c r="G23" s="41">
        <f t="shared" si="36"/>
        <v>63.983999999999995</v>
      </c>
      <c r="H23" s="82"/>
      <c r="I23" s="41">
        <f t="shared" si="37"/>
        <v>9.2939999999999969</v>
      </c>
      <c r="J23" s="41">
        <f t="shared" si="37"/>
        <v>10.663999999999994</v>
      </c>
      <c r="K23" s="82"/>
      <c r="L23" s="41">
        <f t="shared" si="38"/>
        <v>61.336000000000006</v>
      </c>
      <c r="M23" s="41">
        <f t="shared" si="38"/>
        <v>70.378</v>
      </c>
      <c r="N23" s="82"/>
      <c r="O23" s="41">
        <f t="shared" si="39"/>
        <v>14.866000000000007</v>
      </c>
      <c r="P23" s="41">
        <f t="shared" si="39"/>
        <v>17.058</v>
      </c>
      <c r="Q23" s="82"/>
      <c r="R23" s="76">
        <f t="shared" si="40"/>
        <v>0.1000645577792124</v>
      </c>
      <c r="S23" s="76">
        <f t="shared" si="40"/>
        <v>0.10002500625156291</v>
      </c>
      <c r="T23" s="82"/>
      <c r="U23" s="41">
        <f t="shared" si="41"/>
        <v>92.94</v>
      </c>
      <c r="V23" s="41">
        <f t="shared" si="41"/>
        <v>106.64</v>
      </c>
      <c r="W23" s="82"/>
      <c r="X23" s="41">
        <f t="shared" si="42"/>
        <v>111.53</v>
      </c>
      <c r="Y23" s="41">
        <f t="shared" si="42"/>
        <v>127.97</v>
      </c>
      <c r="AA23" s="182">
        <f t="shared" si="50"/>
        <v>111.5</v>
      </c>
      <c r="AB23" s="182">
        <f t="shared" si="50"/>
        <v>127.9</v>
      </c>
      <c r="AD23" s="40">
        <f t="shared" si="43"/>
        <v>92.916666666666671</v>
      </c>
      <c r="AE23" s="40">
        <f t="shared" si="43"/>
        <v>106.58333333333334</v>
      </c>
      <c r="AG23" s="40">
        <f t="shared" si="51"/>
        <v>3.0000000000001137E-2</v>
      </c>
      <c r="AH23" s="40">
        <f t="shared" si="51"/>
        <v>6.9999999999993179E-2</v>
      </c>
      <c r="AJ23" s="40">
        <f t="shared" si="44"/>
        <v>5.58</v>
      </c>
      <c r="AK23" s="40">
        <f t="shared" si="44"/>
        <v>6.4</v>
      </c>
      <c r="AL23" s="40"/>
      <c r="AM23" s="180">
        <f t="shared" si="52"/>
        <v>37.146000000000001</v>
      </c>
      <c r="AN23" s="180">
        <f t="shared" si="53"/>
        <v>42.586000000000013</v>
      </c>
      <c r="AP23" s="76">
        <f t="shared" si="45"/>
        <v>9.9999999999999964E-2</v>
      </c>
      <c r="AQ23" s="76">
        <f t="shared" si="45"/>
        <v>9.999999999999995E-2</v>
      </c>
      <c r="AS23" s="76">
        <f t="shared" si="46"/>
        <v>0.39967721110393806</v>
      </c>
      <c r="AT23" s="76">
        <f t="shared" si="46"/>
        <v>0.39934358589647423</v>
      </c>
      <c r="AV23" s="76">
        <f t="shared" si="47"/>
        <v>0.5</v>
      </c>
      <c r="AW23" s="76">
        <f t="shared" si="47"/>
        <v>0.5</v>
      </c>
      <c r="AX23" s="42"/>
      <c r="AY23" s="42">
        <f t="shared" si="48"/>
        <v>46.44</v>
      </c>
      <c r="AZ23" s="42">
        <f t="shared" si="48"/>
        <v>53.250000000000007</v>
      </c>
      <c r="BA23" s="42"/>
      <c r="BB23" s="76">
        <f t="shared" si="49"/>
        <v>0.49967721110393803</v>
      </c>
      <c r="BC23" s="76">
        <f t="shared" si="49"/>
        <v>0.49934358589647421</v>
      </c>
    </row>
    <row r="24" spans="2:55" x14ac:dyDescent="0.25">
      <c r="B24" s="25" t="s">
        <v>27</v>
      </c>
      <c r="C24" s="149">
        <f>ROUND('ST Standard from 1 Apr25'!C24+$B$80,2)</f>
        <v>51.96</v>
      </c>
      <c r="D24" s="149">
        <f>ROUND('ST Standard from 1 Apr25'!D24+$B$80,2)</f>
        <v>58.64</v>
      </c>
      <c r="E24" s="41"/>
      <c r="F24" s="41">
        <f t="shared" si="36"/>
        <v>62.351999999999997</v>
      </c>
      <c r="G24" s="41">
        <f t="shared" si="36"/>
        <v>70.367999999999995</v>
      </c>
      <c r="H24" s="82"/>
      <c r="I24" s="41">
        <f t="shared" si="37"/>
        <v>10.391999999999996</v>
      </c>
      <c r="J24" s="41">
        <f t="shared" si="37"/>
        <v>11.727999999999994</v>
      </c>
      <c r="K24" s="82"/>
      <c r="L24" s="41">
        <f t="shared" si="38"/>
        <v>68.585000000000008</v>
      </c>
      <c r="M24" s="41">
        <f t="shared" si="38"/>
        <v>77.407000000000011</v>
      </c>
      <c r="N24" s="82"/>
      <c r="O24" s="41">
        <f t="shared" si="39"/>
        <v>16.625000000000007</v>
      </c>
      <c r="P24" s="41">
        <f t="shared" si="39"/>
        <v>18.76700000000001</v>
      </c>
      <c r="Q24" s="82"/>
      <c r="R24" s="76">
        <f t="shared" si="40"/>
        <v>0.10007698229407237</v>
      </c>
      <c r="S24" s="76">
        <f t="shared" si="40"/>
        <v>0.10004547521600729</v>
      </c>
      <c r="T24" s="82"/>
      <c r="U24" s="41">
        <f t="shared" si="41"/>
        <v>103.92</v>
      </c>
      <c r="V24" s="41">
        <f t="shared" si="41"/>
        <v>117.28</v>
      </c>
      <c r="W24" s="82"/>
      <c r="X24" s="41">
        <f t="shared" si="42"/>
        <v>124.7</v>
      </c>
      <c r="Y24" s="41">
        <f t="shared" si="42"/>
        <v>140.74</v>
      </c>
      <c r="AA24" s="182">
        <f t="shared" si="50"/>
        <v>124.7</v>
      </c>
      <c r="AB24" s="182">
        <f t="shared" si="50"/>
        <v>140.69999999999999</v>
      </c>
      <c r="AD24" s="40">
        <f t="shared" si="43"/>
        <v>103.91666666666667</v>
      </c>
      <c r="AE24" s="40">
        <f t="shared" si="43"/>
        <v>117.25</v>
      </c>
      <c r="AG24" s="40">
        <f t="shared" si="51"/>
        <v>0</v>
      </c>
      <c r="AH24" s="40">
        <f t="shared" si="51"/>
        <v>4.0000000000020464E-2</v>
      </c>
      <c r="AJ24" s="40">
        <f t="shared" si="44"/>
        <v>6.24</v>
      </c>
      <c r="AK24" s="40">
        <f t="shared" si="44"/>
        <v>7.04</v>
      </c>
      <c r="AL24" s="40"/>
      <c r="AM24" s="180">
        <f t="shared" si="52"/>
        <v>41.568000000000005</v>
      </c>
      <c r="AN24" s="180">
        <f t="shared" si="53"/>
        <v>46.871999999999986</v>
      </c>
      <c r="AP24" s="76">
        <f t="shared" si="45"/>
        <v>9.9999999999999964E-2</v>
      </c>
      <c r="AQ24" s="76">
        <f t="shared" si="45"/>
        <v>9.999999999999995E-2</v>
      </c>
      <c r="AS24" s="76">
        <f t="shared" si="46"/>
        <v>0.4</v>
      </c>
      <c r="AT24" s="76">
        <f t="shared" si="46"/>
        <v>0.39965893587994528</v>
      </c>
      <c r="AV24" s="76">
        <f t="shared" si="47"/>
        <v>0.5</v>
      </c>
      <c r="AW24" s="76">
        <f t="shared" si="47"/>
        <v>0.5</v>
      </c>
      <c r="AX24" s="42"/>
      <c r="AY24" s="42">
        <f t="shared" si="48"/>
        <v>51.96</v>
      </c>
      <c r="AZ24" s="42">
        <f t="shared" si="48"/>
        <v>58.59999999999998</v>
      </c>
      <c r="BA24" s="42"/>
      <c r="BB24" s="76">
        <f t="shared" si="49"/>
        <v>0.5</v>
      </c>
      <c r="BC24" s="76">
        <f t="shared" si="49"/>
        <v>0.49965893587994525</v>
      </c>
    </row>
    <row r="25" spans="2:55" x14ac:dyDescent="0.25">
      <c r="B25" s="25" t="s">
        <v>29</v>
      </c>
      <c r="C25" s="149">
        <f>ROUND('ST Standard from 1 Apr25'!C25+$B$80,2)</f>
        <v>9.14</v>
      </c>
      <c r="D25" s="149">
        <f>ROUND('ST Standard from 1 Apr25'!D25+$B$80,2)</f>
        <v>9.8000000000000007</v>
      </c>
      <c r="E25" s="41"/>
      <c r="F25" s="41">
        <f t="shared" si="36"/>
        <v>10.968</v>
      </c>
      <c r="G25" s="41">
        <f t="shared" si="36"/>
        <v>11.76</v>
      </c>
      <c r="H25" s="82"/>
      <c r="I25" s="41">
        <f t="shared" si="37"/>
        <v>1.8279999999999994</v>
      </c>
      <c r="J25" s="41">
        <f t="shared" si="37"/>
        <v>1.9599999999999991</v>
      </c>
      <c r="K25" s="82"/>
      <c r="L25" s="41">
        <f t="shared" si="38"/>
        <v>12.067000000000002</v>
      </c>
      <c r="M25" s="41">
        <f t="shared" si="38"/>
        <v>12.936</v>
      </c>
      <c r="N25" s="82"/>
      <c r="O25" s="41">
        <f t="shared" si="39"/>
        <v>2.9270000000000014</v>
      </c>
      <c r="P25" s="41">
        <f t="shared" si="39"/>
        <v>3.1359999999999992</v>
      </c>
      <c r="Q25" s="82"/>
      <c r="R25" s="76">
        <f t="shared" si="40"/>
        <v>0.10029175784099198</v>
      </c>
      <c r="S25" s="76">
        <f t="shared" si="40"/>
        <v>0.10034013605442177</v>
      </c>
      <c r="T25" s="82"/>
      <c r="U25" s="41">
        <f t="shared" si="41"/>
        <v>18.28</v>
      </c>
      <c r="V25" s="41">
        <f t="shared" si="41"/>
        <v>19.600000000000001</v>
      </c>
      <c r="W25" s="82"/>
      <c r="X25" s="41">
        <f t="shared" si="42"/>
        <v>21.94</v>
      </c>
      <c r="Y25" s="41">
        <f t="shared" si="42"/>
        <v>23.52</v>
      </c>
      <c r="AA25" s="182">
        <f>ROUNDDOWN(C25/(1-$X$1)*1.2,1)</f>
        <v>21.9</v>
      </c>
      <c r="AB25" s="182">
        <f>ROUNDDOWN(D25/(1-$X$1)*1.2,1)</f>
        <v>23.5</v>
      </c>
      <c r="AD25" s="40">
        <f t="shared" si="43"/>
        <v>18.25</v>
      </c>
      <c r="AE25" s="40">
        <f t="shared" si="43"/>
        <v>19.583333333333336</v>
      </c>
      <c r="AG25" s="40">
        <f t="shared" si="51"/>
        <v>4.00000000000027E-2</v>
      </c>
      <c r="AH25" s="40">
        <f t="shared" si="51"/>
        <v>1.9999999999999574E-2</v>
      </c>
      <c r="AJ25" s="40">
        <f t="shared" si="44"/>
        <v>1.1000000000000001</v>
      </c>
      <c r="AK25" s="40">
        <f t="shared" si="44"/>
        <v>1.18</v>
      </c>
      <c r="AL25" s="40"/>
      <c r="AM25" s="180">
        <f t="shared" si="52"/>
        <v>7.2719999999999985</v>
      </c>
      <c r="AN25" s="180">
        <f t="shared" si="53"/>
        <v>7.8200000000000021</v>
      </c>
      <c r="AP25" s="76">
        <f t="shared" si="45"/>
        <v>9.9999999999999964E-2</v>
      </c>
      <c r="AQ25" s="76">
        <f t="shared" si="45"/>
        <v>9.999999999999995E-2</v>
      </c>
      <c r="AS25" s="76">
        <f t="shared" si="46"/>
        <v>0.39781181619256006</v>
      </c>
      <c r="AT25" s="76">
        <f t="shared" si="46"/>
        <v>0.39897959183673476</v>
      </c>
      <c r="AV25" s="76">
        <f t="shared" si="47"/>
        <v>0.5</v>
      </c>
      <c r="AW25" s="76">
        <f t="shared" si="47"/>
        <v>0.5</v>
      </c>
      <c r="AX25" s="42"/>
      <c r="AY25" s="42">
        <f t="shared" si="48"/>
        <v>9.0999999999999979</v>
      </c>
      <c r="AZ25" s="42">
        <f t="shared" si="48"/>
        <v>9.7800000000000011</v>
      </c>
      <c r="BA25" s="42"/>
      <c r="BB25" s="76">
        <f t="shared" si="49"/>
        <v>0.49781181619256004</v>
      </c>
      <c r="BC25" s="76">
        <f t="shared" si="49"/>
        <v>0.49897959183673474</v>
      </c>
    </row>
    <row r="26" spans="2:55" x14ac:dyDescent="0.25">
      <c r="B26" s="25"/>
      <c r="C26" s="41"/>
      <c r="D26" s="41"/>
      <c r="E26" s="41"/>
      <c r="F26" s="41"/>
      <c r="G26" s="41"/>
      <c r="H26" s="82"/>
      <c r="I26" s="82"/>
      <c r="J26" s="82"/>
      <c r="K26" s="82"/>
      <c r="L26" s="41"/>
      <c r="M26" s="41"/>
      <c r="N26" s="4"/>
      <c r="O26" s="4"/>
      <c r="P26" s="4"/>
      <c r="Q26" s="4"/>
      <c r="R26" s="78"/>
      <c r="T26" s="4"/>
      <c r="U26" s="4"/>
      <c r="V26" s="4"/>
      <c r="W26" s="4"/>
      <c r="AJ26" s="40"/>
      <c r="AK26" s="40"/>
      <c r="AL26" s="40"/>
      <c r="AM26" s="102"/>
      <c r="AN26" s="102"/>
      <c r="AS26" s="76"/>
      <c r="AT26" s="76"/>
      <c r="AV26" s="40"/>
      <c r="AW26" s="40"/>
      <c r="BB26" s="77"/>
      <c r="BC26" s="77"/>
    </row>
    <row r="27" spans="2:55" x14ac:dyDescent="0.25">
      <c r="B27" s="32" t="s">
        <v>32</v>
      </c>
      <c r="C27" s="41"/>
      <c r="D27" s="41"/>
      <c r="E27" s="41"/>
      <c r="F27" s="41"/>
      <c r="G27" s="41"/>
      <c r="H27" s="82"/>
      <c r="I27" s="82"/>
      <c r="J27" s="82"/>
      <c r="K27" s="82"/>
      <c r="L27" s="41"/>
      <c r="M27" s="41"/>
      <c r="N27" s="4"/>
      <c r="O27" s="4"/>
      <c r="P27" s="4"/>
      <c r="Q27" s="4"/>
      <c r="R27" s="78"/>
      <c r="T27" s="4"/>
      <c r="U27" s="4"/>
      <c r="V27" s="4"/>
      <c r="W27" s="4"/>
      <c r="AJ27" s="40"/>
      <c r="AK27" s="40"/>
      <c r="AL27" s="40"/>
      <c r="AS27" s="103"/>
      <c r="AT27" s="103"/>
      <c r="AV27" s="40"/>
      <c r="AW27" s="40"/>
      <c r="BB27" s="77"/>
      <c r="BC27" s="77"/>
    </row>
    <row r="28" spans="2:55" x14ac:dyDescent="0.25">
      <c r="B28" s="25" t="s">
        <v>23</v>
      </c>
      <c r="C28" s="149">
        <f>ROUND('ST Standard from 1 Apr25'!C28+$B$80,2)</f>
        <v>30.23</v>
      </c>
      <c r="D28" s="149">
        <f>ROUND('ST Standard from 1 Apr25'!D28+$B$80,2)</f>
        <v>35.61</v>
      </c>
      <c r="E28" s="41"/>
      <c r="F28" s="41">
        <f t="shared" ref="F28:G33" si="54">C28*SUM(1+$G$1/$X$1)</f>
        <v>36.275999999999996</v>
      </c>
      <c r="G28" s="41">
        <f t="shared" si="54"/>
        <v>42.731999999999999</v>
      </c>
      <c r="H28" s="82"/>
      <c r="I28" s="41">
        <f t="shared" ref="I28:J33" si="55">F28-C28</f>
        <v>6.0459999999999958</v>
      </c>
      <c r="J28" s="41">
        <f t="shared" si="55"/>
        <v>7.1219999999999999</v>
      </c>
      <c r="K28" s="82"/>
      <c r="L28" s="41">
        <f t="shared" ref="L28:M33" si="56">ROUND(C28*(1+$G$1*2),2)*SUM(1+$M$1)</f>
        <v>39.908000000000001</v>
      </c>
      <c r="M28" s="41">
        <f t="shared" si="56"/>
        <v>47.003</v>
      </c>
      <c r="N28" s="82"/>
      <c r="O28" s="41">
        <f t="shared" ref="O28:P32" si="57">L28-C28</f>
        <v>9.6780000000000008</v>
      </c>
      <c r="P28" s="41">
        <f t="shared" si="57"/>
        <v>11.393000000000001</v>
      </c>
      <c r="Q28" s="82"/>
      <c r="R28" s="76">
        <f t="shared" ref="R28:S33" si="58">AJ28/F28</f>
        <v>0.10006615944426067</v>
      </c>
      <c r="S28" s="76">
        <f t="shared" si="58"/>
        <v>9.9925114668164366E-2</v>
      </c>
      <c r="T28" s="82"/>
      <c r="U28" s="41">
        <f t="shared" ref="U28:V33" si="59">SUM(C28/(1-$X$1))</f>
        <v>60.46</v>
      </c>
      <c r="V28" s="41">
        <f t="shared" si="59"/>
        <v>71.22</v>
      </c>
      <c r="W28" s="82"/>
      <c r="X28" s="41">
        <f t="shared" ref="X28:Y33" si="60">ROUND(C28/(1-$X$1)*1.2,2)</f>
        <v>72.55</v>
      </c>
      <c r="Y28" s="41">
        <f t="shared" si="60"/>
        <v>85.46</v>
      </c>
      <c r="AA28" s="182">
        <f>ROUNDDOWN(C28/(1-$X$1)*1.2,1)</f>
        <v>72.5</v>
      </c>
      <c r="AB28" s="182">
        <f>ROUNDDOWN(D28/(1-$X$1)*1.2,1)</f>
        <v>85.4</v>
      </c>
      <c r="AD28" s="40">
        <f t="shared" ref="AD28:AE33" si="61">AA28/1.2</f>
        <v>60.416666666666671</v>
      </c>
      <c r="AE28" s="40">
        <f t="shared" si="61"/>
        <v>71.166666666666671</v>
      </c>
      <c r="AG28" s="40">
        <f>X28-AA28</f>
        <v>4.9999999999997158E-2</v>
      </c>
      <c r="AH28" s="40">
        <f>Y28-AB28</f>
        <v>5.9999999999988063E-2</v>
      </c>
      <c r="AJ28" s="40">
        <f t="shared" ref="AJ28:AK33" si="62">ROUND(L28*(1-(1/(1+$AL$1))),2)</f>
        <v>3.63</v>
      </c>
      <c r="AK28" s="40">
        <f t="shared" si="62"/>
        <v>4.2699999999999996</v>
      </c>
      <c r="AL28" s="40"/>
      <c r="AM28" s="180">
        <f>SUM(U28-F28)-AG28</f>
        <v>24.134000000000007</v>
      </c>
      <c r="AN28" s="180">
        <f>SUM(V28-G28)-AH28</f>
        <v>28.428000000000011</v>
      </c>
      <c r="AP28" s="76">
        <f t="shared" ref="AP28:AQ33" si="63">(SUM(F28-C28)/C28)*$X$1</f>
        <v>9.9999999999999936E-2</v>
      </c>
      <c r="AQ28" s="76">
        <f t="shared" si="63"/>
        <v>0.1</v>
      </c>
      <c r="AS28" s="76">
        <f t="shared" ref="AS28:AT33" si="64">AM28/U28</f>
        <v>0.39917300694674174</v>
      </c>
      <c r="AT28" s="76">
        <f t="shared" si="64"/>
        <v>0.39915754001684939</v>
      </c>
      <c r="AV28" s="76">
        <f t="shared" ref="AV28:AW33" si="65">C28/U28</f>
        <v>0.5</v>
      </c>
      <c r="AW28" s="76">
        <f t="shared" si="65"/>
        <v>0.5</v>
      </c>
      <c r="AX28" s="42"/>
      <c r="AY28" s="42">
        <f t="shared" ref="AY28:AZ33" si="66">I28+AM28</f>
        <v>30.180000000000003</v>
      </c>
      <c r="AZ28" s="42">
        <f t="shared" si="66"/>
        <v>35.550000000000011</v>
      </c>
      <c r="BA28" s="42"/>
      <c r="BB28" s="76">
        <f t="shared" ref="BB28:BC33" si="67">AY28/(C28/$X$1)</f>
        <v>0.49917300694674172</v>
      </c>
      <c r="BC28" s="76">
        <f t="shared" si="67"/>
        <v>0.49915754001684937</v>
      </c>
    </row>
    <row r="29" spans="2:55" x14ac:dyDescent="0.25">
      <c r="B29" s="25" t="s">
        <v>24</v>
      </c>
      <c r="C29" s="149">
        <f>ROUND('ST Standard from 1 Apr25'!C29+$B$80,2)</f>
        <v>36.14</v>
      </c>
      <c r="D29" s="149">
        <f>ROUND('ST Standard from 1 Apr25'!D29+$B$80,2)</f>
        <v>42.41</v>
      </c>
      <c r="E29" s="41"/>
      <c r="F29" s="41">
        <f t="shared" si="54"/>
        <v>43.368000000000002</v>
      </c>
      <c r="G29" s="41">
        <f t="shared" si="54"/>
        <v>50.891999999999996</v>
      </c>
      <c r="H29" s="82"/>
      <c r="I29" s="41">
        <f t="shared" si="55"/>
        <v>7.2280000000000015</v>
      </c>
      <c r="J29" s="41">
        <f t="shared" si="55"/>
        <v>8.4819999999999993</v>
      </c>
      <c r="K29" s="82"/>
      <c r="L29" s="41">
        <f t="shared" si="56"/>
        <v>47.707000000000001</v>
      </c>
      <c r="M29" s="41">
        <f t="shared" si="56"/>
        <v>55.979000000000006</v>
      </c>
      <c r="N29" s="82"/>
      <c r="O29" s="41">
        <f t="shared" si="57"/>
        <v>11.567</v>
      </c>
      <c r="P29" s="41">
        <f t="shared" si="57"/>
        <v>13.56900000000001</v>
      </c>
      <c r="Q29" s="82"/>
      <c r="R29" s="76">
        <f t="shared" si="58"/>
        <v>0.10007378712414683</v>
      </c>
      <c r="S29" s="76">
        <f t="shared" si="58"/>
        <v>0.10001571956299615</v>
      </c>
      <c r="T29" s="82"/>
      <c r="U29" s="41">
        <f t="shared" si="59"/>
        <v>72.28</v>
      </c>
      <c r="V29" s="41">
        <f t="shared" si="59"/>
        <v>84.82</v>
      </c>
      <c r="W29" s="82"/>
      <c r="X29" s="41">
        <f t="shared" si="60"/>
        <v>86.74</v>
      </c>
      <c r="Y29" s="41">
        <f t="shared" si="60"/>
        <v>101.78</v>
      </c>
      <c r="AA29" s="182">
        <f t="shared" ref="AA29:AB32" si="68">ROUNDDOWN(C29/(1-$X$1)*1.2,1)</f>
        <v>86.7</v>
      </c>
      <c r="AB29" s="182">
        <f t="shared" si="68"/>
        <v>101.7</v>
      </c>
      <c r="AD29" s="40">
        <f t="shared" si="61"/>
        <v>72.25</v>
      </c>
      <c r="AE29" s="40">
        <f t="shared" si="61"/>
        <v>84.75</v>
      </c>
      <c r="AG29" s="40">
        <f t="shared" ref="AG29:AH33" si="69">X29-AA29</f>
        <v>3.9999999999992042E-2</v>
      </c>
      <c r="AH29" s="40">
        <f t="shared" si="69"/>
        <v>7.9999999999998295E-2</v>
      </c>
      <c r="AJ29" s="40">
        <f t="shared" si="62"/>
        <v>4.34</v>
      </c>
      <c r="AK29" s="40">
        <f t="shared" si="62"/>
        <v>5.09</v>
      </c>
      <c r="AL29" s="40"/>
      <c r="AM29" s="180">
        <f t="shared" ref="AM29:AM33" si="70">SUM(U29-F29)-AG29</f>
        <v>28.872000000000007</v>
      </c>
      <c r="AN29" s="180">
        <f t="shared" ref="AN29:AN33" si="71">SUM(V29-G29)-AH29</f>
        <v>33.847999999999999</v>
      </c>
      <c r="AP29" s="76">
        <f t="shared" si="63"/>
        <v>0.10000000000000002</v>
      </c>
      <c r="AQ29" s="76">
        <f t="shared" si="63"/>
        <v>0.1</v>
      </c>
      <c r="AS29" s="76">
        <f t="shared" si="64"/>
        <v>0.3994465965688988</v>
      </c>
      <c r="AT29" s="76">
        <f t="shared" si="64"/>
        <v>0.39905682622023109</v>
      </c>
      <c r="AV29" s="76">
        <f t="shared" si="65"/>
        <v>0.5</v>
      </c>
      <c r="AW29" s="76">
        <f t="shared" si="65"/>
        <v>0.5</v>
      </c>
      <c r="AX29" s="42"/>
      <c r="AY29" s="42">
        <f t="shared" si="66"/>
        <v>36.100000000000009</v>
      </c>
      <c r="AZ29" s="42">
        <f t="shared" si="66"/>
        <v>42.33</v>
      </c>
      <c r="BA29" s="42"/>
      <c r="BB29" s="76">
        <f t="shared" si="67"/>
        <v>0.49944659656889884</v>
      </c>
      <c r="BC29" s="76">
        <f t="shared" si="67"/>
        <v>0.49905682622023112</v>
      </c>
    </row>
    <row r="30" spans="2:55" x14ac:dyDescent="0.25">
      <c r="B30" s="25" t="s">
        <v>25</v>
      </c>
      <c r="C30" s="149">
        <f>ROUND('ST Standard from 1 Apr25'!C30+$B$80,2)</f>
        <v>44.11</v>
      </c>
      <c r="D30" s="149">
        <f>ROUND('ST Standard from 1 Apr25'!D30+$B$80,2)</f>
        <v>48.79</v>
      </c>
      <c r="E30" s="41"/>
      <c r="F30" s="41">
        <f t="shared" si="54"/>
        <v>52.931999999999995</v>
      </c>
      <c r="G30" s="41">
        <f t="shared" si="54"/>
        <v>58.547999999999995</v>
      </c>
      <c r="H30" s="82"/>
      <c r="I30" s="41">
        <f t="shared" si="55"/>
        <v>8.8219999999999956</v>
      </c>
      <c r="J30" s="41">
        <f t="shared" si="55"/>
        <v>9.7579999999999956</v>
      </c>
      <c r="K30" s="82"/>
      <c r="L30" s="41">
        <f t="shared" si="56"/>
        <v>58.223000000000006</v>
      </c>
      <c r="M30" s="41">
        <f t="shared" si="56"/>
        <v>64.405000000000001</v>
      </c>
      <c r="N30" s="82"/>
      <c r="O30" s="41">
        <f t="shared" si="57"/>
        <v>14.113000000000007</v>
      </c>
      <c r="P30" s="41">
        <f t="shared" si="57"/>
        <v>15.615000000000002</v>
      </c>
      <c r="Q30" s="82"/>
      <c r="R30" s="76">
        <f t="shared" si="58"/>
        <v>9.9939545076702191E-2</v>
      </c>
      <c r="S30" s="76">
        <f t="shared" si="58"/>
        <v>0.10008881601421057</v>
      </c>
      <c r="T30" s="82"/>
      <c r="U30" s="41">
        <f t="shared" si="59"/>
        <v>88.22</v>
      </c>
      <c r="V30" s="41">
        <f t="shared" si="59"/>
        <v>97.58</v>
      </c>
      <c r="W30" s="82"/>
      <c r="X30" s="41">
        <f t="shared" si="60"/>
        <v>105.86</v>
      </c>
      <c r="Y30" s="41">
        <f t="shared" si="60"/>
        <v>117.1</v>
      </c>
      <c r="AA30" s="182">
        <f t="shared" si="68"/>
        <v>105.8</v>
      </c>
      <c r="AB30" s="182">
        <f t="shared" si="68"/>
        <v>117</v>
      </c>
      <c r="AD30" s="40">
        <f t="shared" si="61"/>
        <v>88.166666666666671</v>
      </c>
      <c r="AE30" s="40">
        <f t="shared" si="61"/>
        <v>97.5</v>
      </c>
      <c r="AG30" s="40">
        <f t="shared" si="69"/>
        <v>6.0000000000002274E-2</v>
      </c>
      <c r="AH30" s="40">
        <f t="shared" si="69"/>
        <v>9.9999999999994316E-2</v>
      </c>
      <c r="AJ30" s="40">
        <f t="shared" si="62"/>
        <v>5.29</v>
      </c>
      <c r="AK30" s="40">
        <f t="shared" si="62"/>
        <v>5.86</v>
      </c>
      <c r="AL30" s="40"/>
      <c r="AM30" s="180">
        <f t="shared" si="70"/>
        <v>35.228000000000002</v>
      </c>
      <c r="AN30" s="180">
        <f t="shared" si="71"/>
        <v>38.932000000000009</v>
      </c>
      <c r="AP30" s="76">
        <f t="shared" si="63"/>
        <v>9.999999999999995E-2</v>
      </c>
      <c r="AQ30" s="76">
        <f t="shared" si="63"/>
        <v>9.999999999999995E-2</v>
      </c>
      <c r="AS30" s="76">
        <f t="shared" si="64"/>
        <v>0.39931988211289959</v>
      </c>
      <c r="AT30" s="76">
        <f t="shared" si="64"/>
        <v>0.39897519983603208</v>
      </c>
      <c r="AV30" s="76">
        <f t="shared" si="65"/>
        <v>0.5</v>
      </c>
      <c r="AW30" s="76">
        <f t="shared" si="65"/>
        <v>0.5</v>
      </c>
      <c r="AX30" s="42"/>
      <c r="AY30" s="42">
        <f t="shared" si="66"/>
        <v>44.05</v>
      </c>
      <c r="AZ30" s="42">
        <f t="shared" si="66"/>
        <v>48.690000000000005</v>
      </c>
      <c r="BA30" s="42"/>
      <c r="BB30" s="76">
        <f t="shared" si="67"/>
        <v>0.49931988211289952</v>
      </c>
      <c r="BC30" s="76">
        <f t="shared" si="67"/>
        <v>0.49897519983603206</v>
      </c>
    </row>
    <row r="31" spans="2:55" x14ac:dyDescent="0.25">
      <c r="B31" s="25" t="s">
        <v>33</v>
      </c>
      <c r="C31" s="149">
        <f>ROUND('ST Standard from 1 Apr25'!C31+$B$80,2)</f>
        <v>54.75</v>
      </c>
      <c r="D31" s="149">
        <f>ROUND('ST Standard from 1 Apr25'!D31+$B$80,2)</f>
        <v>62.63</v>
      </c>
      <c r="E31" s="41"/>
      <c r="F31" s="41">
        <f t="shared" si="54"/>
        <v>65.7</v>
      </c>
      <c r="G31" s="41">
        <f t="shared" si="54"/>
        <v>75.156000000000006</v>
      </c>
      <c r="H31" s="82"/>
      <c r="I31" s="41">
        <f t="shared" si="55"/>
        <v>10.950000000000003</v>
      </c>
      <c r="J31" s="41">
        <f t="shared" si="55"/>
        <v>12.526000000000003</v>
      </c>
      <c r="K31" s="82"/>
      <c r="L31" s="41">
        <f t="shared" si="56"/>
        <v>72.27000000000001</v>
      </c>
      <c r="M31" s="41">
        <f t="shared" si="56"/>
        <v>82.676000000000002</v>
      </c>
      <c r="N31" s="82"/>
      <c r="O31" s="41">
        <f t="shared" si="57"/>
        <v>17.52000000000001</v>
      </c>
      <c r="P31" s="41">
        <f t="shared" si="57"/>
        <v>20.045999999999999</v>
      </c>
      <c r="Q31" s="82"/>
      <c r="R31" s="76">
        <f t="shared" si="58"/>
        <v>0.1</v>
      </c>
      <c r="S31" s="76">
        <f t="shared" si="58"/>
        <v>0.10005854489328861</v>
      </c>
      <c r="T31" s="82"/>
      <c r="U31" s="41">
        <f t="shared" si="59"/>
        <v>109.5</v>
      </c>
      <c r="V31" s="41">
        <f t="shared" si="59"/>
        <v>125.26</v>
      </c>
      <c r="W31" s="82"/>
      <c r="X31" s="41">
        <f t="shared" si="60"/>
        <v>131.4</v>
      </c>
      <c r="Y31" s="41">
        <f t="shared" si="60"/>
        <v>150.31</v>
      </c>
      <c r="AA31" s="182">
        <f t="shared" si="68"/>
        <v>131.4</v>
      </c>
      <c r="AB31" s="182">
        <f t="shared" si="68"/>
        <v>150.30000000000001</v>
      </c>
      <c r="AD31" s="40">
        <f t="shared" si="61"/>
        <v>109.50000000000001</v>
      </c>
      <c r="AE31" s="40">
        <f t="shared" si="61"/>
        <v>125.25000000000001</v>
      </c>
      <c r="AG31" s="40">
        <f t="shared" si="69"/>
        <v>0</v>
      </c>
      <c r="AH31" s="40">
        <f t="shared" si="69"/>
        <v>9.9999999999909051E-3</v>
      </c>
      <c r="AJ31" s="40">
        <f t="shared" si="62"/>
        <v>6.57</v>
      </c>
      <c r="AK31" s="40">
        <f t="shared" si="62"/>
        <v>7.52</v>
      </c>
      <c r="AL31" s="40"/>
      <c r="AM31" s="180">
        <f t="shared" si="70"/>
        <v>43.8</v>
      </c>
      <c r="AN31" s="180">
        <f t="shared" si="71"/>
        <v>50.094000000000008</v>
      </c>
      <c r="AP31" s="76">
        <f t="shared" si="63"/>
        <v>0.10000000000000002</v>
      </c>
      <c r="AQ31" s="76">
        <f t="shared" si="63"/>
        <v>0.10000000000000002</v>
      </c>
      <c r="AS31" s="76">
        <f t="shared" si="64"/>
        <v>0.39999999999999997</v>
      </c>
      <c r="AT31" s="76">
        <f t="shared" si="64"/>
        <v>0.39992016605460645</v>
      </c>
      <c r="AV31" s="76">
        <f t="shared" si="65"/>
        <v>0.5</v>
      </c>
      <c r="AW31" s="76">
        <f t="shared" si="65"/>
        <v>0.5</v>
      </c>
      <c r="AX31" s="42"/>
      <c r="AY31" s="42">
        <f t="shared" si="66"/>
        <v>54.75</v>
      </c>
      <c r="AZ31" s="42">
        <f t="shared" si="66"/>
        <v>62.620000000000012</v>
      </c>
      <c r="BA31" s="42"/>
      <c r="BB31" s="76">
        <f t="shared" si="67"/>
        <v>0.5</v>
      </c>
      <c r="BC31" s="76">
        <f t="shared" si="67"/>
        <v>0.49992016605460649</v>
      </c>
    </row>
    <row r="32" spans="2:55" x14ac:dyDescent="0.25">
      <c r="B32" s="25" t="s">
        <v>27</v>
      </c>
      <c r="C32" s="149">
        <f>ROUND('ST Standard from 1 Apr25'!C32+$B$80,2)</f>
        <v>60.17</v>
      </c>
      <c r="D32" s="149">
        <f>ROUND('ST Standard from 1 Apr25'!D32+$B$80,2)</f>
        <v>67.62</v>
      </c>
      <c r="E32" s="41"/>
      <c r="F32" s="41">
        <f t="shared" si="54"/>
        <v>72.203999999999994</v>
      </c>
      <c r="G32" s="41">
        <f t="shared" si="54"/>
        <v>81.144000000000005</v>
      </c>
      <c r="H32" s="82"/>
      <c r="I32" s="41">
        <f t="shared" si="55"/>
        <v>12.033999999999992</v>
      </c>
      <c r="J32" s="41">
        <f t="shared" si="55"/>
        <v>13.524000000000001</v>
      </c>
      <c r="K32" s="82"/>
      <c r="L32" s="41">
        <f t="shared" si="56"/>
        <v>79.420000000000016</v>
      </c>
      <c r="M32" s="41">
        <f t="shared" si="56"/>
        <v>89.254000000000005</v>
      </c>
      <c r="N32" s="82"/>
      <c r="O32" s="41">
        <f t="shared" si="57"/>
        <v>19.250000000000014</v>
      </c>
      <c r="P32" s="41">
        <f t="shared" si="57"/>
        <v>21.634</v>
      </c>
      <c r="Q32" s="82"/>
      <c r="R32" s="76">
        <f t="shared" si="58"/>
        <v>9.9994460140712435E-2</v>
      </c>
      <c r="S32" s="76">
        <f t="shared" si="58"/>
        <v>9.994577541161391E-2</v>
      </c>
      <c r="T32" s="82"/>
      <c r="U32" s="41">
        <f t="shared" si="59"/>
        <v>120.34</v>
      </c>
      <c r="V32" s="41">
        <f t="shared" si="59"/>
        <v>135.24</v>
      </c>
      <c r="W32" s="82"/>
      <c r="X32" s="41">
        <f t="shared" si="60"/>
        <v>144.41</v>
      </c>
      <c r="Y32" s="41">
        <f t="shared" si="60"/>
        <v>162.29</v>
      </c>
      <c r="AA32" s="182">
        <f t="shared" si="68"/>
        <v>144.4</v>
      </c>
      <c r="AB32" s="182">
        <f t="shared" si="68"/>
        <v>162.19999999999999</v>
      </c>
      <c r="AD32" s="40">
        <f t="shared" si="61"/>
        <v>120.33333333333334</v>
      </c>
      <c r="AE32" s="40">
        <f t="shared" si="61"/>
        <v>135.16666666666666</v>
      </c>
      <c r="AG32" s="40">
        <f t="shared" si="69"/>
        <v>9.9999999999909051E-3</v>
      </c>
      <c r="AH32" s="40">
        <f t="shared" si="69"/>
        <v>9.0000000000003411E-2</v>
      </c>
      <c r="AJ32" s="40">
        <f t="shared" si="62"/>
        <v>7.22</v>
      </c>
      <c r="AK32" s="40">
        <f t="shared" si="62"/>
        <v>8.11</v>
      </c>
      <c r="AL32" s="40"/>
      <c r="AM32" s="180">
        <f t="shared" si="70"/>
        <v>48.126000000000019</v>
      </c>
      <c r="AN32" s="180">
        <f t="shared" si="71"/>
        <v>54.006</v>
      </c>
      <c r="AP32" s="76">
        <f t="shared" si="63"/>
        <v>9.9999999999999922E-2</v>
      </c>
      <c r="AQ32" s="76">
        <f t="shared" si="63"/>
        <v>0.1</v>
      </c>
      <c r="AS32" s="76">
        <f t="shared" si="64"/>
        <v>0.39991690211068653</v>
      </c>
      <c r="AT32" s="76">
        <f t="shared" si="64"/>
        <v>0.39933451641526174</v>
      </c>
      <c r="AV32" s="76">
        <f t="shared" si="65"/>
        <v>0.5</v>
      </c>
      <c r="AW32" s="76">
        <f t="shared" si="65"/>
        <v>0.5</v>
      </c>
      <c r="AX32" s="42"/>
      <c r="AY32" s="42">
        <f t="shared" si="66"/>
        <v>60.160000000000011</v>
      </c>
      <c r="AZ32" s="42">
        <f t="shared" si="66"/>
        <v>67.53</v>
      </c>
      <c r="BA32" s="42"/>
      <c r="BB32" s="76">
        <f t="shared" si="67"/>
        <v>0.49991690211068646</v>
      </c>
      <c r="BC32" s="76">
        <f t="shared" si="67"/>
        <v>0.49933451641526172</v>
      </c>
    </row>
    <row r="33" spans="1:55" x14ac:dyDescent="0.25">
      <c r="B33" s="25" t="s">
        <v>29</v>
      </c>
      <c r="C33" s="149">
        <f>ROUND('ST Standard from 1 Apr25'!C33+$B$80,2)</f>
        <v>11.6</v>
      </c>
      <c r="D33" s="149">
        <f>ROUND('ST Standard from 1 Apr25'!D33+$B$80,2)</f>
        <v>12.39</v>
      </c>
      <c r="E33" s="41"/>
      <c r="F33" s="41">
        <f t="shared" si="54"/>
        <v>13.92</v>
      </c>
      <c r="G33" s="41">
        <f t="shared" si="54"/>
        <v>14.868</v>
      </c>
      <c r="H33" s="82"/>
      <c r="I33" s="41">
        <f t="shared" si="55"/>
        <v>2.3200000000000003</v>
      </c>
      <c r="J33" s="41">
        <f t="shared" si="55"/>
        <v>2.4779999999999998</v>
      </c>
      <c r="K33" s="82"/>
      <c r="L33" s="41">
        <f t="shared" si="56"/>
        <v>15.312000000000001</v>
      </c>
      <c r="M33" s="41">
        <f t="shared" si="56"/>
        <v>16.356999999999999</v>
      </c>
      <c r="N33" s="82"/>
      <c r="O33" s="41">
        <f>L33-C33</f>
        <v>3.7120000000000015</v>
      </c>
      <c r="P33" s="41">
        <f>M33-D33</f>
        <v>3.9669999999999987</v>
      </c>
      <c r="Q33" s="82"/>
      <c r="R33" s="76">
        <f t="shared" si="58"/>
        <v>9.9856321839080456E-2</v>
      </c>
      <c r="S33" s="76">
        <f t="shared" si="58"/>
        <v>0.10021522733387139</v>
      </c>
      <c r="T33" s="82"/>
      <c r="U33" s="41">
        <f t="shared" si="59"/>
        <v>23.2</v>
      </c>
      <c r="V33" s="41">
        <f t="shared" si="59"/>
        <v>24.78</v>
      </c>
      <c r="W33" s="82"/>
      <c r="X33" s="41">
        <f t="shared" si="60"/>
        <v>27.84</v>
      </c>
      <c r="Y33" s="41">
        <f t="shared" si="60"/>
        <v>29.74</v>
      </c>
      <c r="AA33" s="182">
        <f>ROUNDDOWN(C33/(1-$X$1)*1.2,1)</f>
        <v>27.8</v>
      </c>
      <c r="AB33" s="182">
        <f>ROUNDDOWN(D33/(1-$X$1)*1.2,1)</f>
        <v>29.7</v>
      </c>
      <c r="AD33" s="40">
        <f t="shared" si="61"/>
        <v>23.166666666666668</v>
      </c>
      <c r="AE33" s="40">
        <f t="shared" si="61"/>
        <v>24.75</v>
      </c>
      <c r="AG33" s="40">
        <f t="shared" si="69"/>
        <v>3.9999999999999147E-2</v>
      </c>
      <c r="AH33" s="40">
        <f t="shared" si="69"/>
        <v>3.9999999999999147E-2</v>
      </c>
      <c r="AJ33" s="40">
        <f t="shared" si="62"/>
        <v>1.39</v>
      </c>
      <c r="AK33" s="40">
        <f t="shared" si="62"/>
        <v>1.49</v>
      </c>
      <c r="AL33" s="40"/>
      <c r="AM33" s="180">
        <f t="shared" si="70"/>
        <v>9.24</v>
      </c>
      <c r="AN33" s="180">
        <f t="shared" si="71"/>
        <v>9.8720000000000017</v>
      </c>
      <c r="AP33" s="76">
        <f t="shared" si="63"/>
        <v>0.10000000000000002</v>
      </c>
      <c r="AQ33" s="76">
        <f t="shared" si="63"/>
        <v>9.9999999999999992E-2</v>
      </c>
      <c r="AS33" s="76">
        <f t="shared" si="64"/>
        <v>0.39827586206896554</v>
      </c>
      <c r="AT33" s="76">
        <f t="shared" si="64"/>
        <v>0.39838579499596455</v>
      </c>
      <c r="AV33" s="76">
        <f t="shared" si="65"/>
        <v>0.5</v>
      </c>
      <c r="AW33" s="76">
        <f t="shared" si="65"/>
        <v>0.5</v>
      </c>
      <c r="AX33" s="42"/>
      <c r="AY33" s="42">
        <f t="shared" si="66"/>
        <v>11.56</v>
      </c>
      <c r="AZ33" s="42">
        <f t="shared" si="66"/>
        <v>12.350000000000001</v>
      </c>
      <c r="BA33" s="42"/>
      <c r="BB33" s="76">
        <f t="shared" si="67"/>
        <v>0.49827586206896557</v>
      </c>
      <c r="BC33" s="76">
        <f t="shared" si="67"/>
        <v>0.49838579499596453</v>
      </c>
    </row>
    <row r="34" spans="1:55" x14ac:dyDescent="0.25">
      <c r="C34" s="39"/>
      <c r="D34" s="39"/>
      <c r="E34" s="39"/>
      <c r="F34" s="39"/>
      <c r="L34" s="41"/>
      <c r="M34" s="39"/>
      <c r="U34" s="41"/>
      <c r="V34" s="41"/>
      <c r="W34" s="39"/>
      <c r="AK34" s="76"/>
      <c r="AL34" s="76"/>
      <c r="AM34" s="76"/>
    </row>
    <row r="35" spans="1:55" x14ac:dyDescent="0.25">
      <c r="A35" s="4" t="s">
        <v>34</v>
      </c>
      <c r="C35" s="40"/>
      <c r="D35" s="40"/>
      <c r="E35" s="40"/>
      <c r="F35" s="40"/>
      <c r="L35" s="40"/>
      <c r="M35" s="40"/>
      <c r="AK35" s="76"/>
      <c r="AL35" s="76"/>
      <c r="AM35" s="76"/>
    </row>
    <row r="36" spans="1:55" x14ac:dyDescent="0.25">
      <c r="C36" s="40"/>
      <c r="D36" s="40"/>
      <c r="E36" s="40"/>
      <c r="F36" s="40"/>
      <c r="M36" s="40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K36" s="76"/>
      <c r="AL36" s="76"/>
      <c r="AM36" s="76"/>
    </row>
    <row r="37" spans="1:55" x14ac:dyDescent="0.25">
      <c r="A37" s="25" t="s">
        <v>35</v>
      </c>
      <c r="B37" s="1" t="s">
        <v>36</v>
      </c>
      <c r="D37" s="40"/>
      <c r="E37" s="40"/>
      <c r="F37" s="40"/>
      <c r="G37" s="40"/>
      <c r="H37" s="40"/>
      <c r="I37" s="40"/>
      <c r="J37" s="40"/>
      <c r="K37" s="40"/>
      <c r="N37" s="40"/>
      <c r="O37" s="40"/>
      <c r="P37" s="40"/>
      <c r="Q37" s="40"/>
      <c r="R37" s="40"/>
      <c r="S37" s="40"/>
      <c r="T37" s="40"/>
      <c r="AK37" s="76"/>
      <c r="AL37" s="76"/>
      <c r="AM37" s="76"/>
    </row>
    <row r="38" spans="1:55" x14ac:dyDescent="0.25">
      <c r="A38" s="25" t="s">
        <v>37</v>
      </c>
      <c r="B38" s="1" t="s">
        <v>38</v>
      </c>
      <c r="D38" s="40"/>
      <c r="E38" s="40"/>
      <c r="F38" s="40"/>
      <c r="N38" s="40"/>
      <c r="O38" s="40"/>
      <c r="P38" s="40"/>
      <c r="Q38" s="40"/>
      <c r="R38" s="40"/>
      <c r="S38" s="40"/>
      <c r="T38" s="40"/>
      <c r="AK38" s="76"/>
      <c r="AL38" s="76"/>
      <c r="AM38" s="76"/>
    </row>
    <row r="39" spans="1:55" x14ac:dyDescent="0.25">
      <c r="A39" s="25" t="s">
        <v>39</v>
      </c>
      <c r="B39" s="1" t="s">
        <v>40</v>
      </c>
      <c r="D39" s="40"/>
      <c r="E39" s="40"/>
      <c r="F39" s="40"/>
      <c r="AK39" s="76"/>
      <c r="AL39" s="76"/>
      <c r="AM39" s="76"/>
    </row>
    <row r="40" spans="1:55" x14ac:dyDescent="0.25">
      <c r="A40" s="25" t="s">
        <v>41</v>
      </c>
      <c r="B40" s="1" t="s">
        <v>42</v>
      </c>
      <c r="D40" s="40"/>
      <c r="E40" s="40"/>
      <c r="F40" s="40"/>
      <c r="AK40" s="76"/>
      <c r="AL40" s="76"/>
      <c r="AM40" s="76"/>
    </row>
    <row r="41" spans="1:55" x14ac:dyDescent="0.25">
      <c r="A41" s="25" t="s">
        <v>43</v>
      </c>
      <c r="B41" s="1" t="s">
        <v>44</v>
      </c>
      <c r="D41" s="40"/>
      <c r="E41" s="40"/>
      <c r="F41" s="40"/>
      <c r="AK41" s="76"/>
      <c r="AL41" s="76"/>
      <c r="AM41" s="76"/>
    </row>
    <row r="42" spans="1:55" x14ac:dyDescent="0.25">
      <c r="A42" s="25" t="s">
        <v>45</v>
      </c>
      <c r="B42" s="1" t="s">
        <v>46</v>
      </c>
      <c r="D42" s="40"/>
      <c r="E42" s="40"/>
      <c r="F42" s="40"/>
      <c r="AK42" s="76"/>
      <c r="AL42" s="76"/>
      <c r="AM42" s="76"/>
    </row>
    <row r="43" spans="1:55" x14ac:dyDescent="0.25">
      <c r="A43" s="25"/>
      <c r="AK43" s="76"/>
      <c r="AL43" s="76"/>
      <c r="AM43" s="76"/>
    </row>
    <row r="44" spans="1:55" x14ac:dyDescent="0.25">
      <c r="A44" s="118" t="s">
        <v>47</v>
      </c>
      <c r="B44" s="1" t="s">
        <v>48</v>
      </c>
      <c r="G44" s="40"/>
      <c r="H44" s="40"/>
      <c r="I44" s="40"/>
      <c r="J44" s="40"/>
      <c r="K44" s="40"/>
      <c r="N44" s="40"/>
      <c r="O44" s="40"/>
      <c r="P44" s="40"/>
      <c r="Q44" s="40"/>
      <c r="R44" s="40"/>
      <c r="S44" s="40"/>
      <c r="T44" s="40"/>
      <c r="AK44" s="76"/>
      <c r="AL44" s="76"/>
      <c r="AM44" s="76"/>
    </row>
    <row r="45" spans="1:55" x14ac:dyDescent="0.25">
      <c r="A45" s="118" t="s">
        <v>49</v>
      </c>
      <c r="B45" s="52" t="s">
        <v>50</v>
      </c>
      <c r="AK45" s="76"/>
      <c r="AL45" s="76"/>
      <c r="AM45" s="76"/>
    </row>
    <row r="46" spans="1:55" x14ac:dyDescent="0.25">
      <c r="A46" s="25"/>
      <c r="AK46" s="76"/>
      <c r="AL46" s="76"/>
      <c r="AM46" s="76"/>
    </row>
    <row r="47" spans="1:55" x14ac:dyDescent="0.25">
      <c r="A47" s="164" t="s">
        <v>51</v>
      </c>
      <c r="B47" s="165" t="s">
        <v>52</v>
      </c>
      <c r="C47" s="166"/>
      <c r="D47" s="166"/>
      <c r="E47" s="166"/>
      <c r="F47" s="166"/>
      <c r="G47" s="166"/>
      <c r="H47" s="166"/>
      <c r="AK47" s="76"/>
      <c r="AL47" s="76"/>
      <c r="AM47" s="76"/>
    </row>
    <row r="48" spans="1:55" ht="47.25" customHeight="1" x14ac:dyDescent="0.25">
      <c r="A48" s="198" t="s">
        <v>53</v>
      </c>
      <c r="B48" s="216" t="s">
        <v>54</v>
      </c>
      <c r="C48" s="216"/>
      <c r="D48" s="216"/>
      <c r="E48" s="216"/>
      <c r="F48" s="216"/>
      <c r="G48" s="216"/>
      <c r="H48" s="216"/>
      <c r="I48" s="216"/>
      <c r="J48" s="216"/>
      <c r="K48" s="216"/>
      <c r="L48" s="216"/>
      <c r="M48" s="216"/>
      <c r="AK48" s="76"/>
      <c r="AL48" s="76"/>
      <c r="AM48" s="76"/>
    </row>
    <row r="49" spans="1:66" x14ac:dyDescent="0.25">
      <c r="A49" s="25"/>
    </row>
    <row r="50" spans="1:66" x14ac:dyDescent="0.25">
      <c r="A50" s="25" t="s">
        <v>55</v>
      </c>
      <c r="B50" s="1" t="s">
        <v>56</v>
      </c>
    </row>
    <row r="51" spans="1:66" x14ac:dyDescent="0.25">
      <c r="A51" s="25"/>
      <c r="B51" s="1" t="s">
        <v>57</v>
      </c>
    </row>
    <row r="52" spans="1:66" x14ac:dyDescent="0.25">
      <c r="A52" s="25"/>
      <c r="B52" s="1" t="s">
        <v>58</v>
      </c>
    </row>
    <row r="53" spans="1:66" x14ac:dyDescent="0.25">
      <c r="A53" s="25"/>
    </row>
    <row r="54" spans="1:66" s="80" customFormat="1" x14ac:dyDescent="0.25">
      <c r="A54" s="79" t="s">
        <v>59</v>
      </c>
      <c r="B54" s="80" t="s">
        <v>60</v>
      </c>
    </row>
    <row r="55" spans="1:66" x14ac:dyDescent="0.25">
      <c r="A55" s="25"/>
    </row>
    <row r="56" spans="1:66" x14ac:dyDescent="0.25">
      <c r="A56" s="25" t="s">
        <v>61</v>
      </c>
      <c r="B56" s="1" t="s">
        <v>62</v>
      </c>
    </row>
    <row r="57" spans="1:66" x14ac:dyDescent="0.25">
      <c r="A57" s="25"/>
    </row>
    <row r="58" spans="1:66" ht="45" customHeight="1" x14ac:dyDescent="0.25">
      <c r="B58" s="39"/>
      <c r="C58" s="217" t="s">
        <v>2</v>
      </c>
      <c r="D58" s="217"/>
      <c r="E58" s="90"/>
      <c r="F58" s="218" t="s">
        <v>3</v>
      </c>
      <c r="G58" s="218"/>
      <c r="H58" s="52"/>
      <c r="I58" s="212" t="s">
        <v>4</v>
      </c>
      <c r="J58" s="212"/>
      <c r="K58" s="52"/>
      <c r="L58" s="219" t="s">
        <v>5</v>
      </c>
      <c r="M58" s="219"/>
      <c r="N58" s="52"/>
      <c r="O58" s="219" t="s">
        <v>6</v>
      </c>
      <c r="P58" s="219"/>
      <c r="Q58" s="52"/>
      <c r="R58" s="219" t="s">
        <v>7</v>
      </c>
      <c r="S58" s="219"/>
      <c r="T58" s="52"/>
      <c r="U58" s="214" t="s">
        <v>8</v>
      </c>
      <c r="V58" s="214"/>
      <c r="W58" s="52"/>
      <c r="X58" s="211" t="s">
        <v>9</v>
      </c>
      <c r="Y58" s="211"/>
      <c r="AA58" s="215" t="s">
        <v>10</v>
      </c>
      <c r="AB58" s="215"/>
      <c r="AD58" s="211" t="s">
        <v>11</v>
      </c>
      <c r="AE58" s="211"/>
      <c r="AG58" s="211" t="s">
        <v>12</v>
      </c>
      <c r="AH58" s="211"/>
      <c r="AJ58" s="211" t="s">
        <v>13</v>
      </c>
      <c r="AK58" s="211"/>
      <c r="AM58" s="211" t="s">
        <v>14</v>
      </c>
      <c r="AN58" s="211"/>
      <c r="AP58" s="212" t="s">
        <v>15</v>
      </c>
      <c r="AQ58" s="212"/>
      <c r="AS58" s="211" t="s">
        <v>16</v>
      </c>
      <c r="AT58" s="211"/>
      <c r="AV58" s="213" t="s">
        <v>17</v>
      </c>
      <c r="AW58" s="213"/>
      <c r="AY58" s="213" t="s">
        <v>18</v>
      </c>
      <c r="AZ58" s="213"/>
      <c r="BB58" s="213" t="s">
        <v>19</v>
      </c>
      <c r="BC58" s="213"/>
    </row>
    <row r="59" spans="1:66" s="34" customFormat="1" x14ac:dyDescent="0.25">
      <c r="C59" s="54" t="s">
        <v>20</v>
      </c>
      <c r="D59" s="54" t="s">
        <v>21</v>
      </c>
      <c r="E59" s="54"/>
      <c r="F59" s="34" t="s">
        <v>20</v>
      </c>
      <c r="G59" s="54" t="s">
        <v>21</v>
      </c>
      <c r="I59" s="34" t="s">
        <v>20</v>
      </c>
      <c r="J59" s="54" t="s">
        <v>21</v>
      </c>
      <c r="L59" s="34" t="s">
        <v>20</v>
      </c>
      <c r="M59" s="54" t="s">
        <v>21</v>
      </c>
      <c r="O59" s="34" t="s">
        <v>20</v>
      </c>
      <c r="P59" s="54" t="s">
        <v>21</v>
      </c>
      <c r="R59" s="34" t="s">
        <v>20</v>
      </c>
      <c r="S59" s="54" t="s">
        <v>21</v>
      </c>
      <c r="U59" s="34" t="s">
        <v>20</v>
      </c>
      <c r="V59" s="34" t="s">
        <v>21</v>
      </c>
      <c r="X59" s="34" t="s">
        <v>20</v>
      </c>
      <c r="Y59" s="34" t="s">
        <v>21</v>
      </c>
      <c r="AA59" s="34" t="s">
        <v>20</v>
      </c>
      <c r="AB59" s="34" t="s">
        <v>21</v>
      </c>
      <c r="AD59" s="34" t="s">
        <v>20</v>
      </c>
      <c r="AE59" s="34" t="s">
        <v>21</v>
      </c>
      <c r="AG59" s="34" t="s">
        <v>20</v>
      </c>
      <c r="AH59" s="34" t="s">
        <v>21</v>
      </c>
      <c r="AJ59" s="34" t="s">
        <v>20</v>
      </c>
      <c r="AK59" s="34" t="s">
        <v>21</v>
      </c>
      <c r="AM59" s="34" t="s">
        <v>20</v>
      </c>
      <c r="AN59" s="34" t="s">
        <v>21</v>
      </c>
      <c r="AP59" s="34" t="s">
        <v>20</v>
      </c>
      <c r="AQ59" s="34" t="s">
        <v>21</v>
      </c>
      <c r="AS59" s="34" t="s">
        <v>20</v>
      </c>
      <c r="AT59" s="34" t="s">
        <v>21</v>
      </c>
      <c r="AV59" s="34" t="s">
        <v>20</v>
      </c>
      <c r="AW59" s="54" t="s">
        <v>21</v>
      </c>
      <c r="AY59" s="34" t="s">
        <v>20</v>
      </c>
      <c r="AZ59" s="54" t="s">
        <v>21</v>
      </c>
      <c r="BB59" s="34" t="s">
        <v>20</v>
      </c>
      <c r="BC59" s="54" t="s">
        <v>21</v>
      </c>
    </row>
    <row r="60" spans="1:66" x14ac:dyDescent="0.25">
      <c r="A60" s="25"/>
      <c r="C60" s="39"/>
      <c r="D60" s="39"/>
      <c r="E60" s="39"/>
      <c r="F60" s="39"/>
      <c r="G60" s="39"/>
      <c r="H60" s="39"/>
      <c r="I60" s="39"/>
      <c r="J60" s="39"/>
      <c r="K60" s="39"/>
      <c r="L60" s="39"/>
    </row>
    <row r="61" spans="1:66" s="52" customFormat="1" ht="60" customHeight="1" x14ac:dyDescent="0.25">
      <c r="A61" s="158" t="s">
        <v>63</v>
      </c>
      <c r="B61" s="157"/>
      <c r="C61" s="168">
        <f>'ST Standard from 1 Apr25'!C61</f>
        <v>13.86</v>
      </c>
      <c r="D61" s="168">
        <f>'ST Standard from 1 Apr25'!D61</f>
        <v>13.86</v>
      </c>
      <c r="E61" s="74"/>
      <c r="F61" s="74">
        <f t="shared" ref="F61:G61" si="72">C61*SUM(1+$G$1/$X$1)</f>
        <v>16.631999999999998</v>
      </c>
      <c r="G61" s="74">
        <f t="shared" si="72"/>
        <v>16.631999999999998</v>
      </c>
      <c r="H61" s="74"/>
      <c r="I61" s="74">
        <f t="shared" ref="I61:J61" si="73">F61-C61</f>
        <v>2.7719999999999985</v>
      </c>
      <c r="J61" s="74">
        <f t="shared" si="73"/>
        <v>2.7719999999999985</v>
      </c>
      <c r="K61" s="51"/>
      <c r="L61" s="160">
        <f t="shared" ref="L61:M61" si="74">ROUND(C61*(1+$G$1*2),2)*SUM(1+$M$1)</f>
        <v>18.292999999999999</v>
      </c>
      <c r="M61" s="160">
        <f t="shared" si="74"/>
        <v>18.292999999999999</v>
      </c>
      <c r="O61" s="74">
        <f t="shared" ref="O61:P61" si="75">L61-C61</f>
        <v>4.4329999999999998</v>
      </c>
      <c r="P61" s="74">
        <f t="shared" si="75"/>
        <v>4.4329999999999998</v>
      </c>
      <c r="R61" s="93">
        <f t="shared" ref="R61:S61" si="76">AJ61/F61</f>
        <v>9.9807599807599817E-2</v>
      </c>
      <c r="S61" s="93">
        <f t="shared" si="76"/>
        <v>9.9807599807599817E-2</v>
      </c>
      <c r="U61" s="74">
        <f t="shared" ref="U61:V61" si="77">SUM(C61/(1-$X$1))</f>
        <v>27.72</v>
      </c>
      <c r="V61" s="74">
        <f t="shared" si="77"/>
        <v>27.72</v>
      </c>
      <c r="X61" s="74">
        <f t="shared" ref="X61:Y61" si="78">ROUND(C61/(1-$X$1)*1.2,2)</f>
        <v>33.26</v>
      </c>
      <c r="Y61" s="74">
        <f t="shared" si="78"/>
        <v>33.26</v>
      </c>
      <c r="Z61" s="94"/>
      <c r="AA61" s="183">
        <f t="shared" ref="AA61:AB61" si="79">ROUNDDOWN(C61/(1-$X$1)*1.2,1)</f>
        <v>33.200000000000003</v>
      </c>
      <c r="AB61" s="183">
        <f t="shared" si="79"/>
        <v>33.200000000000003</v>
      </c>
      <c r="AD61" s="94">
        <f t="shared" ref="AD61:AE61" si="80">AA61/1.2</f>
        <v>27.666666666666671</v>
      </c>
      <c r="AE61" s="94">
        <f t="shared" si="80"/>
        <v>27.666666666666671</v>
      </c>
      <c r="AG61" s="94">
        <f t="shared" ref="AG61:AH61" si="81">X61-AA61</f>
        <v>5.9999999999995168E-2</v>
      </c>
      <c r="AH61" s="94">
        <f t="shared" si="81"/>
        <v>5.9999999999995168E-2</v>
      </c>
      <c r="AI61" s="94"/>
      <c r="AJ61" s="94">
        <f t="shared" ref="AJ61:AK61" si="82">ROUND(L61*(1-(1/(1+$AL$1))),2)</f>
        <v>1.66</v>
      </c>
      <c r="AK61" s="94">
        <f t="shared" si="82"/>
        <v>1.66</v>
      </c>
      <c r="AL61" s="94"/>
      <c r="AM61" s="181">
        <f t="shared" ref="AM61" si="83">SUM(U61-F61)-AG61</f>
        <v>11.028000000000006</v>
      </c>
      <c r="AN61" s="181">
        <f t="shared" ref="AN61" si="84">SUM(V61-G61)-AH61</f>
        <v>11.028000000000006</v>
      </c>
      <c r="AP61" s="135">
        <f t="shared" ref="AP61:AQ61" si="85">(SUM(F61-C61)/C61)/2</f>
        <v>9.999999999999995E-2</v>
      </c>
      <c r="AQ61" s="135">
        <f t="shared" si="85"/>
        <v>9.999999999999995E-2</v>
      </c>
      <c r="AS61" s="135">
        <f t="shared" ref="AS61:AT61" si="86">AM61/U61</f>
        <v>0.39783549783549804</v>
      </c>
      <c r="AT61" s="135">
        <f t="shared" si="86"/>
        <v>0.39783549783549804</v>
      </c>
      <c r="AV61" s="93">
        <f t="shared" ref="AV61:AW61" si="87">C61/U61</f>
        <v>0.5</v>
      </c>
      <c r="AW61" s="93">
        <f t="shared" si="87"/>
        <v>0.5</v>
      </c>
      <c r="AY61" s="136">
        <f t="shared" ref="AY61:AZ61" si="88">I61+AM61</f>
        <v>13.800000000000004</v>
      </c>
      <c r="AZ61" s="136">
        <f t="shared" si="88"/>
        <v>13.800000000000004</v>
      </c>
      <c r="BB61" s="93">
        <f t="shared" ref="BB61:BC61" si="89">AY61/(C61/$X$1)</f>
        <v>0.49783549783549802</v>
      </c>
      <c r="BC61" s="93">
        <f t="shared" si="89"/>
        <v>0.49783549783549802</v>
      </c>
      <c r="BK61" s="125" t="e">
        <f>SUM(U61-L61)-#REF!</f>
        <v>#REF!</v>
      </c>
      <c r="BN61" s="124" t="e">
        <f>BK61/U61</f>
        <v>#REF!</v>
      </c>
    </row>
    <row r="62" spans="1:66" x14ac:dyDescent="0.25">
      <c r="C62" s="39"/>
      <c r="D62" s="39"/>
      <c r="E62" s="39"/>
      <c r="F62" s="39"/>
      <c r="G62" s="39"/>
      <c r="H62" s="39"/>
      <c r="I62" s="39"/>
      <c r="J62" s="39"/>
      <c r="K62" s="39"/>
      <c r="L62" s="39"/>
      <c r="BN62" s="76"/>
    </row>
    <row r="63" spans="1:66" x14ac:dyDescent="0.25">
      <c r="A63" s="48" t="s">
        <v>64</v>
      </c>
      <c r="B63" s="44" t="s">
        <v>65</v>
      </c>
      <c r="C63" s="45" t="s">
        <v>66</v>
      </c>
    </row>
    <row r="64" spans="1:66" ht="29.25" customHeight="1" x14ac:dyDescent="0.25">
      <c r="A64" s="49"/>
      <c r="B64" s="209" t="s">
        <v>67</v>
      </c>
      <c r="C64" s="210" t="s">
        <v>68</v>
      </c>
      <c r="D64" s="210"/>
      <c r="E64" s="210"/>
      <c r="F64" s="210"/>
      <c r="G64" s="210"/>
      <c r="H64" s="210"/>
      <c r="I64" s="210"/>
      <c r="J64" s="210"/>
      <c r="K64" s="210"/>
      <c r="L64" s="210"/>
      <c r="M64" s="210"/>
    </row>
    <row r="65" spans="1:13" ht="29.25" customHeight="1" x14ac:dyDescent="0.25">
      <c r="A65" s="49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0"/>
    </row>
    <row r="66" spans="1:13" x14ac:dyDescent="0.25">
      <c r="A66" s="25"/>
      <c r="B66" s="44" t="s">
        <v>69</v>
      </c>
      <c r="C66" s="45" t="s">
        <v>70</v>
      </c>
    </row>
    <row r="67" spans="1:13" x14ac:dyDescent="0.25">
      <c r="A67" s="25"/>
      <c r="B67" s="44" t="s">
        <v>71</v>
      </c>
      <c r="C67" s="45" t="s">
        <v>72</v>
      </c>
    </row>
    <row r="68" spans="1:13" x14ac:dyDescent="0.25">
      <c r="A68" s="25"/>
      <c r="B68" s="44"/>
      <c r="C68" s="45"/>
    </row>
    <row r="69" spans="1:13" x14ac:dyDescent="0.25">
      <c r="A69" s="25" t="s">
        <v>73</v>
      </c>
      <c r="B69" s="1" t="s">
        <v>74</v>
      </c>
      <c r="C69" s="46" t="s">
        <v>75</v>
      </c>
      <c r="L69" s="47"/>
    </row>
    <row r="70" spans="1:13" x14ac:dyDescent="0.25">
      <c r="A70" s="25"/>
      <c r="B70" s="1" t="s">
        <v>76</v>
      </c>
      <c r="C70" s="47" t="s">
        <v>77</v>
      </c>
      <c r="L70" s="47"/>
    </row>
    <row r="71" spans="1:13" x14ac:dyDescent="0.25">
      <c r="A71" s="25"/>
      <c r="B71" s="1" t="s">
        <v>78</v>
      </c>
      <c r="C71" s="47" t="s">
        <v>79</v>
      </c>
      <c r="L71" s="47"/>
    </row>
    <row r="72" spans="1:13" x14ac:dyDescent="0.25">
      <c r="A72" s="25"/>
      <c r="B72" s="1" t="s">
        <v>80</v>
      </c>
      <c r="C72" s="47" t="s">
        <v>81</v>
      </c>
      <c r="L72" s="47"/>
    </row>
    <row r="73" spans="1:13" x14ac:dyDescent="0.25">
      <c r="A73" s="25"/>
    </row>
    <row r="74" spans="1:13" x14ac:dyDescent="0.25">
      <c r="A74" s="46" t="s">
        <v>82</v>
      </c>
      <c r="B74" s="1" t="s">
        <v>83</v>
      </c>
    </row>
    <row r="76" spans="1:13" x14ac:dyDescent="0.25">
      <c r="A76" s="119" t="s">
        <v>84</v>
      </c>
    </row>
    <row r="77" spans="1:13" x14ac:dyDescent="0.25">
      <c r="B77" s="47"/>
    </row>
    <row r="78" spans="1:13" x14ac:dyDescent="0.25">
      <c r="B78" s="47"/>
    </row>
    <row r="79" spans="1:13" x14ac:dyDescent="0.25">
      <c r="A79" s="166" t="s">
        <v>85</v>
      </c>
      <c r="B79" s="191">
        <v>1.04</v>
      </c>
      <c r="C79" s="192" t="s">
        <v>86</v>
      </c>
    </row>
    <row r="80" spans="1:13" x14ac:dyDescent="0.25">
      <c r="A80" s="166"/>
      <c r="B80" s="191">
        <v>2.09</v>
      </c>
      <c r="C80" s="192" t="s">
        <v>87</v>
      </c>
    </row>
  </sheetData>
  <mergeCells count="40">
    <mergeCell ref="AM1:AN1"/>
    <mergeCell ref="C2:D2"/>
    <mergeCell ref="F2:G2"/>
    <mergeCell ref="I2:J2"/>
    <mergeCell ref="L2:M2"/>
    <mergeCell ref="O2:P2"/>
    <mergeCell ref="R2:S2"/>
    <mergeCell ref="U2:V2"/>
    <mergeCell ref="X2:Y2"/>
    <mergeCell ref="AA2:AB2"/>
    <mergeCell ref="AV2:AW2"/>
    <mergeCell ref="AY2:AZ2"/>
    <mergeCell ref="BB2:BC2"/>
    <mergeCell ref="B48:M48"/>
    <mergeCell ref="C58:D58"/>
    <mergeCell ref="F58:G58"/>
    <mergeCell ref="I58:J58"/>
    <mergeCell ref="L58:M58"/>
    <mergeCell ref="O58:P58"/>
    <mergeCell ref="R58:S58"/>
    <mergeCell ref="AD2:AE2"/>
    <mergeCell ref="AG2:AH2"/>
    <mergeCell ref="AJ2:AK2"/>
    <mergeCell ref="AM2:AN2"/>
    <mergeCell ref="AP2:AQ2"/>
    <mergeCell ref="AS2:AT2"/>
    <mergeCell ref="AV58:AW58"/>
    <mergeCell ref="AY58:AZ58"/>
    <mergeCell ref="BB58:BC58"/>
    <mergeCell ref="U58:V58"/>
    <mergeCell ref="X58:Y58"/>
    <mergeCell ref="AA58:AB58"/>
    <mergeCell ref="AD58:AE58"/>
    <mergeCell ref="AG58:AH58"/>
    <mergeCell ref="AJ58:AK58"/>
    <mergeCell ref="B64:B65"/>
    <mergeCell ref="C64:M65"/>
    <mergeCell ref="AM58:AN58"/>
    <mergeCell ref="AP58:AQ58"/>
    <mergeCell ref="AS58:AT58"/>
  </mergeCells>
  <pageMargins left="0.7" right="0.7" top="0.75" bottom="0.75" header="0.3" footer="0.3"/>
  <pageSetup orientation="portrait" horizontalDpi="4294967295" verticalDpi="4294967295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64D6C-8D66-48BF-9E0C-DCE83C7F18D7}">
  <sheetPr>
    <tabColor rgb="FF92D050"/>
  </sheetPr>
  <dimension ref="A1:BN79"/>
  <sheetViews>
    <sheetView zoomScale="80" zoomScaleNormal="80" workbookViewId="0">
      <pane xSplit="2" ySplit="3" topLeftCell="C18" activePane="bottomRight" state="frozen"/>
      <selection pane="topRight" activeCell="C1" sqref="C1"/>
      <selection pane="bottomLeft" activeCell="A4" sqref="A4"/>
      <selection pane="bottomRight" activeCell="D18" sqref="D18"/>
    </sheetView>
  </sheetViews>
  <sheetFormatPr defaultColWidth="8.85546875" defaultRowHeight="15" x14ac:dyDescent="0.25"/>
  <cols>
    <col min="1" max="1" width="50.7109375" style="1" customWidth="1"/>
    <col min="2" max="2" width="11.5703125" style="1" customWidth="1"/>
    <col min="3" max="4" width="7.7109375" style="1" customWidth="1"/>
    <col min="5" max="5" width="3.5703125" style="1" customWidth="1"/>
    <col min="6" max="7" width="7.7109375" style="1" customWidth="1"/>
    <col min="8" max="8" width="4" style="1" customWidth="1"/>
    <col min="9" max="10" width="6.7109375" style="1" customWidth="1"/>
    <col min="11" max="11" width="4" style="1" customWidth="1"/>
    <col min="12" max="13" width="7.7109375" style="1" customWidth="1"/>
    <col min="14" max="14" width="5.5703125" style="1" customWidth="1"/>
    <col min="15" max="16" width="7.7109375" style="1" customWidth="1"/>
    <col min="17" max="17" width="5.5703125" style="1" customWidth="1"/>
    <col min="18" max="18" width="6.5703125" style="1" bestFit="1" customWidth="1"/>
    <col min="19" max="19" width="7.85546875" style="1" bestFit="1" customWidth="1"/>
    <col min="20" max="20" width="5.5703125" style="1" customWidth="1"/>
    <col min="21" max="22" width="12.5703125" style="1" customWidth="1"/>
    <col min="23" max="23" width="3" style="1" customWidth="1"/>
    <col min="24" max="25" width="10.7109375" style="1" customWidth="1"/>
    <col min="26" max="26" width="5.7109375" style="1" bestFit="1" customWidth="1"/>
    <col min="27" max="28" width="8.140625" style="1" bestFit="1" customWidth="1"/>
    <col min="29" max="29" width="5.7109375" style="1" customWidth="1"/>
    <col min="30" max="31" width="7.140625" style="1" bestFit="1" customWidth="1"/>
    <col min="32" max="32" width="5.7109375" style="1" customWidth="1"/>
    <col min="33" max="34" width="6.7109375" style="1" bestFit="1" customWidth="1"/>
    <col min="35" max="35" width="5.7109375" style="1" customWidth="1"/>
    <col min="36" max="36" width="7.140625" style="1" bestFit="1" customWidth="1"/>
    <col min="37" max="37" width="6.140625" style="1" bestFit="1" customWidth="1"/>
    <col min="38" max="38" width="7.7109375" style="1" bestFit="1" customWidth="1"/>
    <col min="39" max="40" width="8" style="1" bestFit="1" customWidth="1"/>
    <col min="41" max="41" width="3.28515625" style="1" customWidth="1"/>
    <col min="42" max="42" width="5.140625" style="1" bestFit="1" customWidth="1"/>
    <col min="43" max="43" width="6.140625" style="1" bestFit="1" customWidth="1"/>
    <col min="44" max="44" width="5.140625" style="1" customWidth="1"/>
    <col min="45" max="46" width="6.5703125" style="1" bestFit="1" customWidth="1"/>
    <col min="47" max="47" width="5.140625" style="1" customWidth="1"/>
    <col min="48" max="48" width="8.85546875" style="1" customWidth="1"/>
    <col min="49" max="49" width="8" style="1" customWidth="1"/>
    <col min="50" max="50" width="5.42578125" style="1" customWidth="1"/>
    <col min="51" max="52" width="6.7109375" style="1" customWidth="1"/>
    <col min="53" max="53" width="5.42578125" style="1" customWidth="1"/>
    <col min="54" max="55" width="8" style="1" customWidth="1"/>
    <col min="56" max="56" width="6.140625" style="1" customWidth="1"/>
    <col min="57" max="58" width="8" style="1" bestFit="1" customWidth="1"/>
    <col min="59" max="62" width="6.140625" style="1" customWidth="1"/>
    <col min="63" max="64" width="8" style="1" customWidth="1"/>
    <col min="65" max="65" width="1.42578125" style="1" customWidth="1"/>
    <col min="66" max="67" width="8.7109375" style="1" customWidth="1"/>
    <col min="68" max="68" width="8.85546875" style="1" customWidth="1"/>
    <col min="69" max="16384" width="8.85546875" style="1"/>
  </cols>
  <sheetData>
    <row r="1" spans="1:61" ht="15" customHeight="1" thickBot="1" x14ac:dyDescent="0.3">
      <c r="A1" s="184" t="s">
        <v>89</v>
      </c>
      <c r="C1" s="171" t="s">
        <v>0</v>
      </c>
      <c r="D1" s="163">
        <v>0.06</v>
      </c>
      <c r="E1" s="38"/>
      <c r="F1" s="38"/>
      <c r="G1" s="193">
        <v>9.1999999999999998E-2</v>
      </c>
      <c r="H1" s="170" t="s">
        <v>1</v>
      </c>
      <c r="M1" s="91">
        <v>0.1</v>
      </c>
      <c r="X1" s="91">
        <v>0.5</v>
      </c>
      <c r="AL1" s="91">
        <v>0.1</v>
      </c>
      <c r="AM1" s="220"/>
      <c r="AN1" s="220"/>
    </row>
    <row r="2" spans="1:61" ht="45" customHeight="1" x14ac:dyDescent="0.25">
      <c r="B2" s="39"/>
      <c r="C2" s="217" t="s">
        <v>2</v>
      </c>
      <c r="D2" s="217"/>
      <c r="E2" s="90"/>
      <c r="F2" s="218" t="s">
        <v>3</v>
      </c>
      <c r="G2" s="218"/>
      <c r="H2" s="52"/>
      <c r="I2" s="212" t="s">
        <v>4</v>
      </c>
      <c r="J2" s="212"/>
      <c r="K2" s="52"/>
      <c r="L2" s="219" t="s">
        <v>5</v>
      </c>
      <c r="M2" s="219"/>
      <c r="N2" s="52"/>
      <c r="O2" s="219" t="s">
        <v>6</v>
      </c>
      <c r="P2" s="219"/>
      <c r="Q2" s="52"/>
      <c r="R2" s="219" t="s">
        <v>7</v>
      </c>
      <c r="S2" s="219"/>
      <c r="T2" s="52"/>
      <c r="U2" s="214" t="s">
        <v>8</v>
      </c>
      <c r="V2" s="214"/>
      <c r="W2" s="52"/>
      <c r="X2" s="211" t="s">
        <v>9</v>
      </c>
      <c r="Y2" s="211"/>
      <c r="AA2" s="215" t="s">
        <v>10</v>
      </c>
      <c r="AB2" s="215"/>
      <c r="AD2" s="211" t="s">
        <v>11</v>
      </c>
      <c r="AE2" s="211"/>
      <c r="AG2" s="211" t="s">
        <v>12</v>
      </c>
      <c r="AH2" s="211"/>
      <c r="AJ2" s="211" t="s">
        <v>13</v>
      </c>
      <c r="AK2" s="211"/>
      <c r="AM2" s="211" t="s">
        <v>14</v>
      </c>
      <c r="AN2" s="211"/>
      <c r="AP2" s="212" t="s">
        <v>15</v>
      </c>
      <c r="AQ2" s="212"/>
      <c r="AS2" s="219" t="s">
        <v>16</v>
      </c>
      <c r="AT2" s="219"/>
      <c r="AV2" s="213" t="s">
        <v>17</v>
      </c>
      <c r="AW2" s="213"/>
      <c r="AY2" s="213" t="s">
        <v>18</v>
      </c>
      <c r="AZ2" s="213"/>
      <c r="BB2" s="213" t="s">
        <v>19</v>
      </c>
      <c r="BC2" s="213"/>
    </row>
    <row r="3" spans="1:61" s="34" customFormat="1" x14ac:dyDescent="0.25">
      <c r="C3" s="54" t="s">
        <v>20</v>
      </c>
      <c r="D3" s="54" t="s">
        <v>21</v>
      </c>
      <c r="E3" s="54"/>
      <c r="F3" s="34" t="s">
        <v>20</v>
      </c>
      <c r="G3" s="54" t="s">
        <v>21</v>
      </c>
      <c r="I3" s="34" t="s">
        <v>20</v>
      </c>
      <c r="J3" s="54" t="s">
        <v>21</v>
      </c>
      <c r="L3" s="34" t="s">
        <v>20</v>
      </c>
      <c r="M3" s="54" t="s">
        <v>21</v>
      </c>
      <c r="O3" s="34" t="s">
        <v>20</v>
      </c>
      <c r="P3" s="54" t="s">
        <v>21</v>
      </c>
      <c r="R3" s="34" t="s">
        <v>20</v>
      </c>
      <c r="S3" s="54" t="s">
        <v>21</v>
      </c>
      <c r="U3" s="34" t="s">
        <v>20</v>
      </c>
      <c r="V3" s="34" t="s">
        <v>21</v>
      </c>
      <c r="X3" s="34" t="s">
        <v>20</v>
      </c>
      <c r="Y3" s="34" t="s">
        <v>21</v>
      </c>
      <c r="AA3" s="34" t="s">
        <v>20</v>
      </c>
      <c r="AB3" s="34" t="s">
        <v>21</v>
      </c>
      <c r="AD3" s="34" t="s">
        <v>20</v>
      </c>
      <c r="AE3" s="34" t="s">
        <v>21</v>
      </c>
      <c r="AG3" s="34" t="s">
        <v>20</v>
      </c>
      <c r="AH3" s="34" t="s">
        <v>21</v>
      </c>
      <c r="AJ3" s="34" t="s">
        <v>20</v>
      </c>
      <c r="AK3" s="34" t="s">
        <v>21</v>
      </c>
      <c r="AM3" s="34" t="s">
        <v>20</v>
      </c>
      <c r="AN3" s="34" t="s">
        <v>21</v>
      </c>
      <c r="AP3" s="34" t="s">
        <v>20</v>
      </c>
      <c r="AQ3" s="34" t="s">
        <v>21</v>
      </c>
      <c r="AS3" s="34" t="s">
        <v>20</v>
      </c>
      <c r="AT3" s="34" t="s">
        <v>21</v>
      </c>
      <c r="AV3" s="34" t="s">
        <v>20</v>
      </c>
      <c r="AW3" s="54" t="s">
        <v>21</v>
      </c>
      <c r="AY3" s="34" t="s">
        <v>20</v>
      </c>
      <c r="AZ3" s="54" t="s">
        <v>21</v>
      </c>
      <c r="BB3" s="34" t="s">
        <v>20</v>
      </c>
      <c r="BC3" s="54" t="s">
        <v>21</v>
      </c>
    </row>
    <row r="4" spans="1:61" x14ac:dyDescent="0.25">
      <c r="B4" s="32" t="s">
        <v>22</v>
      </c>
      <c r="C4" s="40"/>
      <c r="D4" s="40"/>
      <c r="E4" s="40"/>
      <c r="F4" s="40"/>
      <c r="L4" s="39"/>
      <c r="M4" s="41"/>
      <c r="AA4" s="39"/>
      <c r="AB4" s="39"/>
    </row>
    <row r="5" spans="1:61" x14ac:dyDescent="0.25">
      <c r="B5" s="25" t="s">
        <v>23</v>
      </c>
      <c r="C5" s="149">
        <f>ROUND('Single Trip Incl Cruise'!C5*SUM(1+'Single Trip Inc Cruise re Jan25'!$D$1),2)</f>
        <v>8.98</v>
      </c>
      <c r="D5" s="149">
        <f>ROUND('Single Trip Incl Cruise'!D5*SUM(1+'Single Trip Inc Cruise re Jan25'!$D$1),2)</f>
        <v>13.17</v>
      </c>
      <c r="E5" s="41"/>
      <c r="F5" s="41">
        <f t="shared" ref="F5:G9" si="0">C5*SUM(1+$G$1/$X$1)</f>
        <v>10.63232</v>
      </c>
      <c r="G5" s="41">
        <f t="shared" si="0"/>
        <v>15.59328</v>
      </c>
      <c r="H5" s="82"/>
      <c r="I5" s="41">
        <f>F5-C5</f>
        <v>1.6523199999999996</v>
      </c>
      <c r="J5" s="41">
        <f>G5-D5</f>
        <v>2.4232800000000001</v>
      </c>
      <c r="K5" s="82"/>
      <c r="L5" s="41">
        <f>ROUND(C5*(1+$G$1*2),2)*SUM(1+$M$1)</f>
        <v>11.693000000000001</v>
      </c>
      <c r="M5" s="41">
        <f t="shared" ref="L5:M9" si="1">ROUND(D5*(1+$G$1*2),2)*SUM(1+$M$1)</f>
        <v>17.149000000000001</v>
      </c>
      <c r="N5" s="82"/>
      <c r="O5" s="41">
        <f>L5-C5</f>
        <v>2.713000000000001</v>
      </c>
      <c r="P5" s="41">
        <f>M5-D5</f>
        <v>3.979000000000001</v>
      </c>
      <c r="Q5" s="82"/>
      <c r="R5" s="76">
        <f t="shared" ref="R5:S9" si="2">AJ5/F5</f>
        <v>9.9696021188226097E-2</v>
      </c>
      <c r="S5" s="76">
        <f t="shared" si="2"/>
        <v>0.10004309548728683</v>
      </c>
      <c r="T5" s="82"/>
      <c r="U5" s="41">
        <f t="shared" ref="U5:V9" si="3">SUM(C5/(1-$X$1))</f>
        <v>17.96</v>
      </c>
      <c r="V5" s="41">
        <f t="shared" si="3"/>
        <v>26.34</v>
      </c>
      <c r="W5" s="82"/>
      <c r="X5" s="41">
        <f>ROUND(C5/(1-$X$1)*1.2,2)</f>
        <v>21.55</v>
      </c>
      <c r="Y5" s="41">
        <f>ROUND(D5/(1-$X$1)*1.2,2)</f>
        <v>31.61</v>
      </c>
      <c r="AA5" s="182">
        <f>ROUNDDOWN(C5/(1-$X$1)*1.2,1)</f>
        <v>21.5</v>
      </c>
      <c r="AB5" s="182">
        <f>ROUNDDOWN(D5/(1-$X$1)*1.2,1)</f>
        <v>31.6</v>
      </c>
      <c r="AD5" s="40">
        <f>AA5/1.2</f>
        <v>17.916666666666668</v>
      </c>
      <c r="AE5" s="40">
        <f>AB5/1.2</f>
        <v>26.333333333333336</v>
      </c>
      <c r="AG5" s="40">
        <f>X5-AA5</f>
        <v>5.0000000000000711E-2</v>
      </c>
      <c r="AH5" s="40">
        <f>Y5-AB5</f>
        <v>9.9999999999980105E-3</v>
      </c>
      <c r="AJ5" s="40">
        <f t="shared" ref="AJ5:AK9" si="4">ROUND(L5*(1-(1/(1+$AL$1))),2)</f>
        <v>1.06</v>
      </c>
      <c r="AK5" s="40">
        <f t="shared" si="4"/>
        <v>1.56</v>
      </c>
      <c r="AL5" s="40"/>
      <c r="AM5" s="180">
        <f>SUM(U5-F5)-AG5</f>
        <v>7.2776800000000001</v>
      </c>
      <c r="AN5" s="180">
        <f>SUM(V5-G5)-AH5</f>
        <v>10.736720000000002</v>
      </c>
      <c r="AP5" s="76">
        <f t="shared" ref="AP5:AQ9" si="5">(SUM(F5-C5)/C5)*$X$1</f>
        <v>9.1999999999999971E-2</v>
      </c>
      <c r="AQ5" s="76">
        <f t="shared" si="5"/>
        <v>9.1999999999999998E-2</v>
      </c>
      <c r="AS5" s="76">
        <f t="shared" ref="AS5:AT9" si="6">AM5/U5</f>
        <v>0.40521603563474384</v>
      </c>
      <c r="AT5" s="76">
        <f t="shared" si="6"/>
        <v>0.4076203492786637</v>
      </c>
      <c r="AU5" s="40"/>
      <c r="AV5" s="76">
        <f t="shared" ref="AV5:AW9" si="7">C5/U5</f>
        <v>0.5</v>
      </c>
      <c r="AW5" s="76">
        <f t="shared" si="7"/>
        <v>0.5</v>
      </c>
      <c r="AX5" s="42"/>
      <c r="AY5" s="42">
        <f t="shared" ref="AY5:AZ9" si="8">I5+AM5</f>
        <v>8.93</v>
      </c>
      <c r="AZ5" s="42">
        <f t="shared" si="8"/>
        <v>13.160000000000002</v>
      </c>
      <c r="BA5" s="42"/>
      <c r="BB5" s="76">
        <f t="shared" ref="BB5:BC9" si="9">AY5/(C5/$X$1)</f>
        <v>0.49721603563474381</v>
      </c>
      <c r="BC5" s="76">
        <f t="shared" si="9"/>
        <v>0.49962034927866372</v>
      </c>
      <c r="BE5" s="40"/>
      <c r="BF5" s="40"/>
      <c r="BG5" s="40"/>
      <c r="BH5" s="40"/>
      <c r="BI5" s="76"/>
    </row>
    <row r="6" spans="1:61" x14ac:dyDescent="0.25">
      <c r="B6" s="25" t="s">
        <v>24</v>
      </c>
      <c r="C6" s="149">
        <f>ROUND('Single Trip Incl Cruise'!C6*SUM(1+'Single Trip Inc Cruise re Jan25'!$D$1),2)</f>
        <v>9.39</v>
      </c>
      <c r="D6" s="149">
        <f>ROUND('Single Trip Incl Cruise'!D6*SUM(1+'Single Trip Inc Cruise re Jan25'!$D$1),2)</f>
        <v>13.79</v>
      </c>
      <c r="E6" s="41"/>
      <c r="F6" s="41">
        <f t="shared" si="0"/>
        <v>11.117760000000001</v>
      </c>
      <c r="G6" s="41">
        <f t="shared" si="0"/>
        <v>16.327359999999999</v>
      </c>
      <c r="H6" s="82"/>
      <c r="I6" s="41">
        <f t="shared" ref="I6:J9" si="10">F6-C6</f>
        <v>1.72776</v>
      </c>
      <c r="J6" s="41">
        <f t="shared" si="10"/>
        <v>2.5373599999999996</v>
      </c>
      <c r="K6" s="82"/>
      <c r="L6" s="41">
        <f t="shared" si="1"/>
        <v>12.231999999999999</v>
      </c>
      <c r="M6" s="41">
        <f t="shared" si="1"/>
        <v>17.963000000000001</v>
      </c>
      <c r="N6" s="82"/>
      <c r="O6" s="41">
        <f t="shared" ref="O6:P9" si="11">L6-C6</f>
        <v>2.8419999999999987</v>
      </c>
      <c r="P6" s="41">
        <f t="shared" si="11"/>
        <v>4.1730000000000018</v>
      </c>
      <c r="Q6" s="82"/>
      <c r="R6" s="76">
        <f t="shared" si="2"/>
        <v>9.9840255591054319E-2</v>
      </c>
      <c r="S6" s="76">
        <f t="shared" si="2"/>
        <v>9.9832428512631563E-2</v>
      </c>
      <c r="T6" s="82"/>
      <c r="U6" s="41">
        <f t="shared" si="3"/>
        <v>18.78</v>
      </c>
      <c r="V6" s="41">
        <f t="shared" si="3"/>
        <v>27.58</v>
      </c>
      <c r="W6" s="82"/>
      <c r="X6" s="41">
        <f t="shared" ref="X6:Y9" si="12">ROUND(C6/(1-$X$1)*1.2,2)</f>
        <v>22.54</v>
      </c>
      <c r="Y6" s="41">
        <f t="shared" si="12"/>
        <v>33.1</v>
      </c>
      <c r="AA6" s="182">
        <f t="shared" ref="AA6:AB9" si="13">ROUNDDOWN(C6/(1-$X$1)*1.2,1)</f>
        <v>22.5</v>
      </c>
      <c r="AB6" s="182">
        <f t="shared" si="13"/>
        <v>33</v>
      </c>
      <c r="AD6" s="40">
        <f t="shared" ref="AD6:AE9" si="14">AA6/1.2</f>
        <v>18.75</v>
      </c>
      <c r="AE6" s="40">
        <f t="shared" si="14"/>
        <v>27.5</v>
      </c>
      <c r="AG6" s="40">
        <f t="shared" ref="AG6:AH9" si="15">X6-AA6</f>
        <v>3.9999999999999147E-2</v>
      </c>
      <c r="AH6" s="40">
        <f t="shared" si="15"/>
        <v>0.10000000000000142</v>
      </c>
      <c r="AJ6" s="40">
        <f t="shared" si="4"/>
        <v>1.1100000000000001</v>
      </c>
      <c r="AK6" s="40">
        <f t="shared" si="4"/>
        <v>1.63</v>
      </c>
      <c r="AL6" s="40"/>
      <c r="AM6" s="180">
        <f t="shared" ref="AM6:AM9" si="16">SUM(U6-F6)-AG6</f>
        <v>7.6222400000000015</v>
      </c>
      <c r="AN6" s="180">
        <f t="shared" ref="AN6:AN9" si="17">SUM(V6-G6)-AH6</f>
        <v>11.152639999999998</v>
      </c>
      <c r="AP6" s="76">
        <f t="shared" si="5"/>
        <v>9.1999999999999998E-2</v>
      </c>
      <c r="AQ6" s="76">
        <f t="shared" si="5"/>
        <v>9.1999999999999998E-2</v>
      </c>
      <c r="AS6" s="76">
        <f t="shared" si="6"/>
        <v>0.40587007454739088</v>
      </c>
      <c r="AT6" s="76">
        <f t="shared" si="6"/>
        <v>0.40437418419144305</v>
      </c>
      <c r="AV6" s="76">
        <f t="shared" si="7"/>
        <v>0.5</v>
      </c>
      <c r="AW6" s="76">
        <f t="shared" si="7"/>
        <v>0.5</v>
      </c>
      <c r="AX6" s="42"/>
      <c r="AY6" s="42">
        <f t="shared" si="8"/>
        <v>9.3500000000000014</v>
      </c>
      <c r="AZ6" s="42">
        <f t="shared" si="8"/>
        <v>13.689999999999998</v>
      </c>
      <c r="BA6" s="42"/>
      <c r="BB6" s="76">
        <f t="shared" si="9"/>
        <v>0.49787007454739091</v>
      </c>
      <c r="BC6" s="76">
        <f t="shared" si="9"/>
        <v>0.49637418419144302</v>
      </c>
    </row>
    <row r="7" spans="1:61" x14ac:dyDescent="0.25">
      <c r="B7" s="25" t="s">
        <v>25</v>
      </c>
      <c r="C7" s="149">
        <f>ROUND('Single Trip Incl Cruise'!C7*SUM(1+'Single Trip Inc Cruise re Jan25'!$D$1),2)</f>
        <v>10.25</v>
      </c>
      <c r="D7" s="149">
        <f>ROUND('Single Trip Incl Cruise'!D7*SUM(1+'Single Trip Inc Cruise re Jan25'!$D$1),2)</f>
        <v>15.12</v>
      </c>
      <c r="E7" s="41"/>
      <c r="F7" s="41">
        <f t="shared" si="0"/>
        <v>12.135999999999999</v>
      </c>
      <c r="G7" s="41">
        <f t="shared" si="0"/>
        <v>17.902079999999998</v>
      </c>
      <c r="H7" s="82"/>
      <c r="I7" s="41">
        <f t="shared" si="10"/>
        <v>1.8859999999999992</v>
      </c>
      <c r="J7" s="41">
        <f t="shared" si="10"/>
        <v>2.7820799999999988</v>
      </c>
      <c r="K7" s="82"/>
      <c r="L7" s="41">
        <f>ROUND(C7*(1+$G$1*2),2)*SUM(1+$M$1)</f>
        <v>13.354000000000001</v>
      </c>
      <c r="M7" s="41">
        <f t="shared" si="1"/>
        <v>19.690000000000001</v>
      </c>
      <c r="N7" s="82"/>
      <c r="O7" s="41">
        <f t="shared" si="11"/>
        <v>3.104000000000001</v>
      </c>
      <c r="P7" s="41">
        <f t="shared" si="11"/>
        <v>4.5700000000000021</v>
      </c>
      <c r="Q7" s="82"/>
      <c r="R7" s="76">
        <f t="shared" si="2"/>
        <v>9.9703361898483847E-2</v>
      </c>
      <c r="S7" s="76">
        <f t="shared" si="2"/>
        <v>9.9988381238381246E-2</v>
      </c>
      <c r="T7" s="82"/>
      <c r="U7" s="41">
        <f t="shared" si="3"/>
        <v>20.5</v>
      </c>
      <c r="V7" s="41">
        <f t="shared" si="3"/>
        <v>30.24</v>
      </c>
      <c r="W7" s="82"/>
      <c r="X7" s="41">
        <f t="shared" si="12"/>
        <v>24.6</v>
      </c>
      <c r="Y7" s="41">
        <f t="shared" si="12"/>
        <v>36.29</v>
      </c>
      <c r="AA7" s="182">
        <f t="shared" si="13"/>
        <v>24.6</v>
      </c>
      <c r="AB7" s="182">
        <f t="shared" si="13"/>
        <v>36.200000000000003</v>
      </c>
      <c r="AD7" s="40">
        <f t="shared" si="14"/>
        <v>20.500000000000004</v>
      </c>
      <c r="AE7" s="40">
        <f t="shared" si="14"/>
        <v>30.166666666666671</v>
      </c>
      <c r="AG7" s="40">
        <f t="shared" si="15"/>
        <v>0</v>
      </c>
      <c r="AH7" s="40">
        <f t="shared" si="15"/>
        <v>8.9999999999996305E-2</v>
      </c>
      <c r="AJ7" s="40">
        <f>ROUND(L7*(1-(1/(1+$AL$1))),2)</f>
        <v>1.21</v>
      </c>
      <c r="AK7" s="40">
        <f t="shared" si="4"/>
        <v>1.79</v>
      </c>
      <c r="AL7" s="40"/>
      <c r="AM7" s="180">
        <f t="shared" si="16"/>
        <v>8.3640000000000008</v>
      </c>
      <c r="AN7" s="180">
        <f t="shared" si="17"/>
        <v>12.247920000000004</v>
      </c>
      <c r="AP7" s="76">
        <f t="shared" si="5"/>
        <v>9.1999999999999957E-2</v>
      </c>
      <c r="AQ7" s="76">
        <f t="shared" si="5"/>
        <v>9.1999999999999971E-2</v>
      </c>
      <c r="AS7" s="76">
        <f t="shared" si="6"/>
        <v>0.40800000000000003</v>
      </c>
      <c r="AT7" s="76">
        <f t="shared" si="6"/>
        <v>0.40502380952380967</v>
      </c>
      <c r="AV7" s="76">
        <f t="shared" si="7"/>
        <v>0.5</v>
      </c>
      <c r="AW7" s="76">
        <f t="shared" si="7"/>
        <v>0.5</v>
      </c>
      <c r="AX7" s="42"/>
      <c r="AY7" s="42">
        <f t="shared" si="8"/>
        <v>10.25</v>
      </c>
      <c r="AZ7" s="42">
        <f t="shared" si="8"/>
        <v>15.030000000000003</v>
      </c>
      <c r="BA7" s="42"/>
      <c r="BB7" s="76">
        <f t="shared" si="9"/>
        <v>0.5</v>
      </c>
      <c r="BC7" s="76">
        <f t="shared" si="9"/>
        <v>0.49702380952380965</v>
      </c>
    </row>
    <row r="8" spans="1:61" x14ac:dyDescent="0.25">
      <c r="B8" s="25" t="s">
        <v>26</v>
      </c>
      <c r="C8" s="149">
        <f>ROUND('Single Trip Incl Cruise'!C8*SUM(1+'Single Trip Inc Cruise re Jan25'!$D$1),2)</f>
        <v>11.19</v>
      </c>
      <c r="D8" s="149">
        <f>ROUND('Single Trip Incl Cruise'!D8*SUM(1+'Single Trip Inc Cruise re Jan25'!$D$1),2)</f>
        <v>16.53</v>
      </c>
      <c r="E8" s="41"/>
      <c r="F8" s="41">
        <f t="shared" si="0"/>
        <v>13.248959999999999</v>
      </c>
      <c r="G8" s="41">
        <f t="shared" si="0"/>
        <v>19.57152</v>
      </c>
      <c r="H8" s="82"/>
      <c r="I8" s="41">
        <f t="shared" si="10"/>
        <v>2.058959999999999</v>
      </c>
      <c r="J8" s="41">
        <f t="shared" si="10"/>
        <v>3.0415199999999984</v>
      </c>
      <c r="K8" s="82"/>
      <c r="L8" s="41">
        <f t="shared" si="1"/>
        <v>14.575000000000001</v>
      </c>
      <c r="M8" s="41">
        <f t="shared" si="1"/>
        <v>21.527000000000001</v>
      </c>
      <c r="N8" s="82"/>
      <c r="O8" s="41">
        <f t="shared" si="11"/>
        <v>3.3850000000000016</v>
      </c>
      <c r="P8" s="41">
        <f t="shared" si="11"/>
        <v>4.9969999999999999</v>
      </c>
      <c r="Q8" s="82"/>
      <c r="R8" s="76">
        <f t="shared" si="2"/>
        <v>0.10038523778470161</v>
      </c>
      <c r="S8" s="76">
        <f t="shared" si="2"/>
        <v>0.10014551756838508</v>
      </c>
      <c r="T8" s="82"/>
      <c r="U8" s="41">
        <f t="shared" si="3"/>
        <v>22.38</v>
      </c>
      <c r="V8" s="41">
        <f t="shared" si="3"/>
        <v>33.06</v>
      </c>
      <c r="W8" s="82"/>
      <c r="X8" s="41">
        <f t="shared" si="12"/>
        <v>26.86</v>
      </c>
      <c r="Y8" s="41">
        <f t="shared" si="12"/>
        <v>39.67</v>
      </c>
      <c r="AA8" s="182">
        <f t="shared" si="13"/>
        <v>26.8</v>
      </c>
      <c r="AB8" s="182">
        <f t="shared" si="13"/>
        <v>39.6</v>
      </c>
      <c r="AD8" s="40">
        <f t="shared" si="14"/>
        <v>22.333333333333336</v>
      </c>
      <c r="AE8" s="40">
        <f t="shared" si="14"/>
        <v>33</v>
      </c>
      <c r="AG8" s="40">
        <f t="shared" si="15"/>
        <v>5.9999999999998721E-2</v>
      </c>
      <c r="AH8" s="40">
        <f t="shared" si="15"/>
        <v>7.0000000000000284E-2</v>
      </c>
      <c r="AJ8" s="40">
        <f t="shared" si="4"/>
        <v>1.33</v>
      </c>
      <c r="AK8" s="40">
        <f t="shared" si="4"/>
        <v>1.96</v>
      </c>
      <c r="AL8" s="40"/>
      <c r="AM8" s="180">
        <f t="shared" si="16"/>
        <v>9.0710400000000018</v>
      </c>
      <c r="AN8" s="180">
        <f t="shared" si="17"/>
        <v>13.418480000000002</v>
      </c>
      <c r="AP8" s="76">
        <f t="shared" si="5"/>
        <v>9.1999999999999957E-2</v>
      </c>
      <c r="AQ8" s="76">
        <f t="shared" si="5"/>
        <v>9.1999999999999943E-2</v>
      </c>
      <c r="AS8" s="76">
        <f t="shared" si="6"/>
        <v>0.405319034852547</v>
      </c>
      <c r="AT8" s="76">
        <f t="shared" si="6"/>
        <v>0.4058826376285542</v>
      </c>
      <c r="AV8" s="76">
        <f t="shared" si="7"/>
        <v>0.5</v>
      </c>
      <c r="AW8" s="76">
        <f t="shared" si="7"/>
        <v>0.5</v>
      </c>
      <c r="AX8" s="42"/>
      <c r="AY8" s="42">
        <f t="shared" si="8"/>
        <v>11.13</v>
      </c>
      <c r="AZ8" s="42">
        <f t="shared" si="8"/>
        <v>16.46</v>
      </c>
      <c r="BA8" s="42"/>
      <c r="BB8" s="76">
        <f t="shared" si="9"/>
        <v>0.49731903485254697</v>
      </c>
      <c r="BC8" s="76">
        <f t="shared" si="9"/>
        <v>0.49788263762855411</v>
      </c>
    </row>
    <row r="9" spans="1:61" x14ac:dyDescent="0.25">
      <c r="B9" s="25" t="s">
        <v>27</v>
      </c>
      <c r="C9" s="149">
        <f>ROUND('Single Trip Incl Cruise'!C9*SUM(1+'Single Trip Inc Cruise re Jan25'!$D$1),2)</f>
        <v>11.21</v>
      </c>
      <c r="D9" s="149">
        <f>ROUND('Single Trip Incl Cruise'!D9*SUM(1+'Single Trip Inc Cruise re Jan25'!$D$1),2)</f>
        <v>16.54</v>
      </c>
      <c r="E9" s="41"/>
      <c r="F9" s="41">
        <f t="shared" si="0"/>
        <v>13.272640000000001</v>
      </c>
      <c r="G9" s="41">
        <f t="shared" si="0"/>
        <v>19.583359999999999</v>
      </c>
      <c r="H9" s="82"/>
      <c r="I9" s="41">
        <f t="shared" si="10"/>
        <v>2.06264</v>
      </c>
      <c r="J9" s="41">
        <f t="shared" si="10"/>
        <v>3.0433599999999998</v>
      </c>
      <c r="K9" s="82"/>
      <c r="L9" s="41">
        <f t="shared" si="1"/>
        <v>14.597000000000001</v>
      </c>
      <c r="M9" s="41">
        <f t="shared" si="1"/>
        <v>21.538</v>
      </c>
      <c r="N9" s="82"/>
      <c r="O9" s="41">
        <f t="shared" si="11"/>
        <v>3.3870000000000005</v>
      </c>
      <c r="P9" s="41">
        <f t="shared" si="11"/>
        <v>4.9980000000000011</v>
      </c>
      <c r="Q9" s="82"/>
      <c r="R9" s="76">
        <f t="shared" si="2"/>
        <v>0.10020613834173156</v>
      </c>
      <c r="S9" s="76">
        <f t="shared" si="2"/>
        <v>0.10008497009706199</v>
      </c>
      <c r="T9" s="82"/>
      <c r="U9" s="41">
        <f t="shared" si="3"/>
        <v>22.42</v>
      </c>
      <c r="V9" s="41">
        <f t="shared" si="3"/>
        <v>33.08</v>
      </c>
      <c r="W9" s="82"/>
      <c r="X9" s="41">
        <f t="shared" si="12"/>
        <v>26.9</v>
      </c>
      <c r="Y9" s="41">
        <f t="shared" si="12"/>
        <v>39.700000000000003</v>
      </c>
      <c r="AA9" s="182">
        <f t="shared" si="13"/>
        <v>26.9</v>
      </c>
      <c r="AB9" s="182">
        <f t="shared" si="13"/>
        <v>39.6</v>
      </c>
      <c r="AD9" s="40">
        <f t="shared" si="14"/>
        <v>22.416666666666668</v>
      </c>
      <c r="AE9" s="40">
        <f t="shared" si="14"/>
        <v>33</v>
      </c>
      <c r="AG9" s="40">
        <f t="shared" si="15"/>
        <v>0</v>
      </c>
      <c r="AH9" s="40">
        <f t="shared" si="15"/>
        <v>0.10000000000000142</v>
      </c>
      <c r="AJ9" s="40">
        <f t="shared" si="4"/>
        <v>1.33</v>
      </c>
      <c r="AK9" s="40">
        <f t="shared" si="4"/>
        <v>1.96</v>
      </c>
      <c r="AL9" s="40"/>
      <c r="AM9" s="180">
        <f t="shared" si="16"/>
        <v>9.1473600000000008</v>
      </c>
      <c r="AN9" s="180">
        <f t="shared" si="17"/>
        <v>13.396639999999998</v>
      </c>
      <c r="AP9" s="76">
        <f t="shared" si="5"/>
        <v>9.1999999999999998E-2</v>
      </c>
      <c r="AQ9" s="76">
        <f t="shared" si="5"/>
        <v>9.1999999999999998E-2</v>
      </c>
      <c r="AS9" s="76">
        <f t="shared" si="6"/>
        <v>0.40800000000000003</v>
      </c>
      <c r="AT9" s="76">
        <f t="shared" si="6"/>
        <v>0.40497702539298663</v>
      </c>
      <c r="AV9" s="76">
        <f t="shared" si="7"/>
        <v>0.5</v>
      </c>
      <c r="AW9" s="76">
        <f t="shared" si="7"/>
        <v>0.5</v>
      </c>
      <c r="AX9" s="42"/>
      <c r="AY9" s="42">
        <f t="shared" si="8"/>
        <v>11.21</v>
      </c>
      <c r="AZ9" s="42">
        <f t="shared" si="8"/>
        <v>16.439999999999998</v>
      </c>
      <c r="BA9" s="42"/>
      <c r="BB9" s="76">
        <f t="shared" si="9"/>
        <v>0.5</v>
      </c>
      <c r="BC9" s="76">
        <f t="shared" si="9"/>
        <v>0.49697702539298666</v>
      </c>
    </row>
    <row r="10" spans="1:61" x14ac:dyDescent="0.25">
      <c r="B10" s="25"/>
      <c r="C10" s="41"/>
      <c r="D10" s="41"/>
      <c r="E10" s="41"/>
      <c r="F10" s="41"/>
      <c r="G10" s="41"/>
      <c r="H10" s="4"/>
      <c r="I10" s="4"/>
      <c r="J10" s="4"/>
      <c r="K10" s="4"/>
      <c r="L10" s="41"/>
      <c r="M10" s="41"/>
      <c r="N10" s="4"/>
      <c r="O10" s="4"/>
      <c r="P10" s="4"/>
      <c r="Q10" s="4"/>
      <c r="R10" s="78"/>
      <c r="T10" s="4"/>
      <c r="U10" s="4"/>
      <c r="V10" s="4"/>
      <c r="W10" s="4"/>
      <c r="AJ10" s="40"/>
      <c r="AK10" s="40"/>
      <c r="AL10" s="40"/>
      <c r="AS10" s="103"/>
      <c r="AT10" s="103"/>
      <c r="AV10" s="40"/>
      <c r="AW10" s="40"/>
      <c r="BB10" s="77"/>
      <c r="BC10" s="77"/>
    </row>
    <row r="11" spans="1:61" x14ac:dyDescent="0.25">
      <c r="B11" s="32" t="s">
        <v>28</v>
      </c>
      <c r="C11" s="41"/>
      <c r="D11" s="41"/>
      <c r="E11" s="41"/>
      <c r="F11" s="41"/>
      <c r="G11" s="41"/>
      <c r="H11" s="4"/>
      <c r="I11" s="4"/>
      <c r="J11" s="4"/>
      <c r="K11" s="4"/>
      <c r="L11" s="41"/>
      <c r="M11" s="41"/>
      <c r="N11" s="4"/>
      <c r="O11" s="4"/>
      <c r="P11" s="4"/>
      <c r="Q11" s="4"/>
      <c r="R11" s="78"/>
      <c r="T11" s="4"/>
      <c r="U11" s="4"/>
      <c r="V11" s="4"/>
      <c r="W11" s="4"/>
      <c r="AJ11" s="40"/>
      <c r="AK11" s="40"/>
      <c r="AL11" s="40"/>
      <c r="AS11" s="103"/>
      <c r="AT11" s="103"/>
      <c r="AV11" s="40"/>
      <c r="AW11" s="40"/>
      <c r="BB11" s="77"/>
      <c r="BC11" s="77"/>
    </row>
    <row r="12" spans="1:61" x14ac:dyDescent="0.25">
      <c r="B12" s="25" t="s">
        <v>23</v>
      </c>
      <c r="C12" s="149">
        <f>ROUND('Single Trip Incl Cruise'!C12*SUM(1+'Single Trip Inc Cruise re Jan25'!$D$1),2)</f>
        <v>11.07</v>
      </c>
      <c r="D12" s="149">
        <f>ROUND('Single Trip Incl Cruise'!D12*SUM(1+'Single Trip Inc Cruise re Jan25'!$D$1),2)</f>
        <v>17.55</v>
      </c>
      <c r="E12" s="41"/>
      <c r="F12" s="41">
        <f t="shared" ref="F12:G17" si="18">C12*SUM(1+$G$1/$X$1)</f>
        <v>13.10688</v>
      </c>
      <c r="G12" s="41">
        <f t="shared" si="18"/>
        <v>20.779199999999999</v>
      </c>
      <c r="H12" s="82"/>
      <c r="I12" s="41">
        <f t="shared" ref="I12:J17" si="19">F12-C12</f>
        <v>2.03688</v>
      </c>
      <c r="J12" s="41">
        <f t="shared" si="19"/>
        <v>3.2291999999999987</v>
      </c>
      <c r="K12" s="82"/>
      <c r="L12" s="41">
        <f t="shared" ref="L12:M17" si="20">ROUND(C12*(1+$G$1*2),2)*SUM(1+$M$1)</f>
        <v>14.421000000000001</v>
      </c>
      <c r="M12" s="41">
        <f t="shared" si="20"/>
        <v>22.858000000000004</v>
      </c>
      <c r="N12" s="82"/>
      <c r="O12" s="41">
        <f t="shared" ref="O12:P17" si="21">L12-C12</f>
        <v>3.3510000000000009</v>
      </c>
      <c r="P12" s="41">
        <f t="shared" si="21"/>
        <v>5.3080000000000034</v>
      </c>
      <c r="Q12" s="82"/>
      <c r="R12" s="76">
        <f t="shared" ref="R12:S17" si="22">AJ12/F12</f>
        <v>9.9947508484093853E-2</v>
      </c>
      <c r="S12" s="76">
        <f t="shared" si="22"/>
        <v>0.10010010010010011</v>
      </c>
      <c r="T12" s="82"/>
      <c r="U12" s="41">
        <f t="shared" ref="U12:V17" si="23">SUM(C12/(1-$X$1))</f>
        <v>22.14</v>
      </c>
      <c r="V12" s="41">
        <f t="shared" si="23"/>
        <v>35.1</v>
      </c>
      <c r="W12" s="82"/>
      <c r="X12" s="41">
        <f t="shared" ref="X12:Y17" si="24">ROUND(C12/(1-$X$1)*1.2,2)</f>
        <v>26.57</v>
      </c>
      <c r="Y12" s="41">
        <f t="shared" si="24"/>
        <v>42.12</v>
      </c>
      <c r="AA12" s="182">
        <f>ROUNDDOWN(C12/(1-$X$1)*1.2,1)</f>
        <v>26.5</v>
      </c>
      <c r="AB12" s="182">
        <f>ROUNDDOWN(D12/(1-$X$1)*1.2,1)</f>
        <v>42.1</v>
      </c>
      <c r="AD12" s="40">
        <f t="shared" ref="AD12:AE17" si="25">AA12/1.2</f>
        <v>22.083333333333336</v>
      </c>
      <c r="AE12" s="40">
        <f t="shared" si="25"/>
        <v>35.083333333333336</v>
      </c>
      <c r="AG12" s="40">
        <f>X12-AA12</f>
        <v>7.0000000000000284E-2</v>
      </c>
      <c r="AH12" s="40">
        <f>Y12-AB12</f>
        <v>1.9999999999996021E-2</v>
      </c>
      <c r="AJ12" s="40">
        <f t="shared" ref="AJ12:AK17" si="26">ROUND(L12*(1-(1/(1+$AL$1))),2)</f>
        <v>1.31</v>
      </c>
      <c r="AK12" s="40">
        <f t="shared" si="26"/>
        <v>2.08</v>
      </c>
      <c r="AL12" s="40"/>
      <c r="AM12" s="180">
        <f>SUM(U12-F12)-AG12</f>
        <v>8.96312</v>
      </c>
      <c r="AN12" s="180">
        <f>SUM(V12-G12)-AH12</f>
        <v>14.300800000000006</v>
      </c>
      <c r="AP12" s="76">
        <f t="shared" ref="AP12:AQ17" si="27">(SUM(F12-C12)/C12)*$X$1</f>
        <v>9.1999999999999998E-2</v>
      </c>
      <c r="AQ12" s="76">
        <f t="shared" si="27"/>
        <v>9.1999999999999957E-2</v>
      </c>
      <c r="AS12" s="76">
        <f t="shared" ref="AS12:AT17" si="28">AM12/U12</f>
        <v>0.40483830171635049</v>
      </c>
      <c r="AT12" s="76">
        <f t="shared" si="28"/>
        <v>0.40743019943019959</v>
      </c>
      <c r="AV12" s="76">
        <f t="shared" ref="AV12:AW17" si="29">C12/U12</f>
        <v>0.5</v>
      </c>
      <c r="AW12" s="76">
        <f t="shared" si="29"/>
        <v>0.5</v>
      </c>
      <c r="AX12" s="42"/>
      <c r="AY12" s="42">
        <f t="shared" ref="AY12:AZ17" si="30">I12+AM12</f>
        <v>11</v>
      </c>
      <c r="AZ12" s="42">
        <f t="shared" si="30"/>
        <v>17.530000000000005</v>
      </c>
      <c r="BA12" s="42"/>
      <c r="BB12" s="76">
        <f t="shared" ref="BB12:BC17" si="31">AY12/(C12/$X$1)</f>
        <v>0.49683830171635046</v>
      </c>
      <c r="BC12" s="76">
        <f t="shared" si="31"/>
        <v>0.49943019943019956</v>
      </c>
    </row>
    <row r="13" spans="1:61" x14ac:dyDescent="0.25">
      <c r="B13" s="25" t="s">
        <v>24</v>
      </c>
      <c r="C13" s="149">
        <f>ROUND('Single Trip Incl Cruise'!C13*SUM(1+'Single Trip Inc Cruise re Jan25'!$D$1),2)</f>
        <v>13.95</v>
      </c>
      <c r="D13" s="149">
        <f>ROUND('Single Trip Incl Cruise'!D13*SUM(1+'Single Trip Inc Cruise re Jan25'!$D$1),2)</f>
        <v>20.79</v>
      </c>
      <c r="E13" s="41"/>
      <c r="F13" s="41">
        <f t="shared" si="18"/>
        <v>16.5168</v>
      </c>
      <c r="G13" s="41">
        <f t="shared" si="18"/>
        <v>24.615359999999999</v>
      </c>
      <c r="H13" s="82"/>
      <c r="I13" s="41">
        <f t="shared" si="19"/>
        <v>2.5668000000000006</v>
      </c>
      <c r="J13" s="41">
        <f t="shared" si="19"/>
        <v>3.8253599999999999</v>
      </c>
      <c r="K13" s="82"/>
      <c r="L13" s="41">
        <f t="shared" si="20"/>
        <v>18.172000000000001</v>
      </c>
      <c r="M13" s="41">
        <f t="shared" si="20"/>
        <v>27.082000000000004</v>
      </c>
      <c r="N13" s="82"/>
      <c r="O13" s="41">
        <f t="shared" si="21"/>
        <v>4.2220000000000013</v>
      </c>
      <c r="P13" s="41">
        <f t="shared" si="21"/>
        <v>6.2920000000000051</v>
      </c>
      <c r="Q13" s="82"/>
      <c r="R13" s="76">
        <f t="shared" si="22"/>
        <v>9.9898285382156352E-2</v>
      </c>
      <c r="S13" s="76">
        <f t="shared" si="22"/>
        <v>9.9937599937599944E-2</v>
      </c>
      <c r="T13" s="82"/>
      <c r="U13" s="41">
        <f t="shared" si="23"/>
        <v>27.9</v>
      </c>
      <c r="V13" s="41">
        <f t="shared" si="23"/>
        <v>41.58</v>
      </c>
      <c r="W13" s="82"/>
      <c r="X13" s="41">
        <f t="shared" si="24"/>
        <v>33.479999999999997</v>
      </c>
      <c r="Y13" s="41">
        <f t="shared" si="24"/>
        <v>49.9</v>
      </c>
      <c r="AA13" s="182">
        <f t="shared" ref="AA13:AB16" si="32">ROUNDDOWN(C13/(1-$X$1)*1.2,1)</f>
        <v>33.4</v>
      </c>
      <c r="AB13" s="182">
        <f t="shared" si="32"/>
        <v>49.8</v>
      </c>
      <c r="AD13" s="40">
        <f t="shared" si="25"/>
        <v>27.833333333333332</v>
      </c>
      <c r="AE13" s="40">
        <f t="shared" si="25"/>
        <v>41.5</v>
      </c>
      <c r="AG13" s="40">
        <f t="shared" ref="AG13:AH17" si="33">X13-AA13</f>
        <v>7.9999999999998295E-2</v>
      </c>
      <c r="AH13" s="40">
        <f t="shared" si="33"/>
        <v>0.10000000000000142</v>
      </c>
      <c r="AJ13" s="40">
        <f t="shared" si="26"/>
        <v>1.65</v>
      </c>
      <c r="AK13" s="40">
        <f t="shared" si="26"/>
        <v>2.46</v>
      </c>
      <c r="AL13" s="40"/>
      <c r="AM13" s="180">
        <f t="shared" ref="AM13:AM17" si="34">SUM(U13-F13)-AG13</f>
        <v>11.3032</v>
      </c>
      <c r="AN13" s="180">
        <f t="shared" ref="AN13:AN17" si="35">SUM(V13-G13)-AH13</f>
        <v>16.864639999999998</v>
      </c>
      <c r="AP13" s="76">
        <f t="shared" si="27"/>
        <v>9.2000000000000026E-2</v>
      </c>
      <c r="AQ13" s="76">
        <f t="shared" si="27"/>
        <v>9.1999999999999998E-2</v>
      </c>
      <c r="AS13" s="76">
        <f t="shared" si="28"/>
        <v>0.40513261648745524</v>
      </c>
      <c r="AT13" s="76">
        <f t="shared" si="28"/>
        <v>0.40559499759499756</v>
      </c>
      <c r="AV13" s="76">
        <f t="shared" si="29"/>
        <v>0.5</v>
      </c>
      <c r="AW13" s="76">
        <f t="shared" si="29"/>
        <v>0.5</v>
      </c>
      <c r="AX13" s="42"/>
      <c r="AY13" s="42">
        <f t="shared" si="30"/>
        <v>13.870000000000001</v>
      </c>
      <c r="AZ13" s="42">
        <f t="shared" si="30"/>
        <v>20.689999999999998</v>
      </c>
      <c r="BA13" s="42"/>
      <c r="BB13" s="76">
        <f t="shared" si="31"/>
        <v>0.49713261648745527</v>
      </c>
      <c r="BC13" s="76">
        <f t="shared" si="31"/>
        <v>0.49759499759499753</v>
      </c>
    </row>
    <row r="14" spans="1:61" x14ac:dyDescent="0.25">
      <c r="B14" s="25" t="s">
        <v>25</v>
      </c>
      <c r="C14" s="149">
        <f>ROUND('Single Trip Incl Cruise'!C14*SUM(1+'Single Trip Inc Cruise re Jan25'!$D$1),2)</f>
        <v>16.22</v>
      </c>
      <c r="D14" s="149">
        <f>ROUND('Single Trip Incl Cruise'!D14*SUM(1+'Single Trip Inc Cruise re Jan25'!$D$1),2)</f>
        <v>23.19</v>
      </c>
      <c r="E14" s="41"/>
      <c r="F14" s="41">
        <f t="shared" si="18"/>
        <v>19.204479999999997</v>
      </c>
      <c r="G14" s="41">
        <f t="shared" si="18"/>
        <v>27.456959999999999</v>
      </c>
      <c r="H14" s="82"/>
      <c r="I14" s="41">
        <f t="shared" si="19"/>
        <v>2.9844799999999978</v>
      </c>
      <c r="J14" s="41">
        <f t="shared" si="19"/>
        <v>4.2669599999999974</v>
      </c>
      <c r="K14" s="82"/>
      <c r="L14" s="41">
        <f t="shared" si="20"/>
        <v>21.12</v>
      </c>
      <c r="M14" s="41">
        <f t="shared" si="20"/>
        <v>30.206000000000003</v>
      </c>
      <c r="N14" s="82"/>
      <c r="O14" s="41">
        <f t="shared" si="21"/>
        <v>4.9000000000000021</v>
      </c>
      <c r="P14" s="41">
        <f t="shared" si="21"/>
        <v>7.0160000000000018</v>
      </c>
      <c r="Q14" s="82"/>
      <c r="R14" s="76">
        <f t="shared" si="22"/>
        <v>9.9976672109841055E-2</v>
      </c>
      <c r="S14" s="76">
        <f t="shared" si="22"/>
        <v>0.10015675442583594</v>
      </c>
      <c r="T14" s="82"/>
      <c r="U14" s="41">
        <f t="shared" si="23"/>
        <v>32.44</v>
      </c>
      <c r="V14" s="41">
        <f t="shared" si="23"/>
        <v>46.38</v>
      </c>
      <c r="W14" s="82"/>
      <c r="X14" s="41">
        <f t="shared" si="24"/>
        <v>38.93</v>
      </c>
      <c r="Y14" s="41">
        <f t="shared" si="24"/>
        <v>55.66</v>
      </c>
      <c r="AA14" s="182">
        <f t="shared" si="32"/>
        <v>38.9</v>
      </c>
      <c r="AB14" s="182">
        <f t="shared" si="32"/>
        <v>55.6</v>
      </c>
      <c r="AD14" s="40">
        <f t="shared" si="25"/>
        <v>32.416666666666664</v>
      </c>
      <c r="AE14" s="40">
        <f t="shared" si="25"/>
        <v>46.333333333333336</v>
      </c>
      <c r="AG14" s="40">
        <f t="shared" si="33"/>
        <v>3.0000000000001137E-2</v>
      </c>
      <c r="AH14" s="40">
        <f t="shared" si="33"/>
        <v>5.9999999999995168E-2</v>
      </c>
      <c r="AJ14" s="40">
        <f t="shared" si="26"/>
        <v>1.92</v>
      </c>
      <c r="AK14" s="40">
        <f t="shared" si="26"/>
        <v>2.75</v>
      </c>
      <c r="AL14" s="40"/>
      <c r="AM14" s="180">
        <f t="shared" si="34"/>
        <v>13.20552</v>
      </c>
      <c r="AN14" s="180">
        <f t="shared" si="35"/>
        <v>18.863040000000009</v>
      </c>
      <c r="AP14" s="76">
        <f t="shared" si="27"/>
        <v>9.1999999999999943E-2</v>
      </c>
      <c r="AQ14" s="76">
        <f t="shared" si="27"/>
        <v>9.1999999999999943E-2</v>
      </c>
      <c r="AS14" s="76">
        <f t="shared" si="28"/>
        <v>0.407075215782984</v>
      </c>
      <c r="AT14" s="76">
        <f t="shared" si="28"/>
        <v>0.40670633893919811</v>
      </c>
      <c r="AV14" s="76">
        <f t="shared" si="29"/>
        <v>0.5</v>
      </c>
      <c r="AW14" s="76">
        <f t="shared" si="29"/>
        <v>0.5</v>
      </c>
      <c r="AX14" s="42"/>
      <c r="AY14" s="42">
        <f t="shared" si="30"/>
        <v>16.189999999999998</v>
      </c>
      <c r="AZ14" s="42">
        <f t="shared" si="30"/>
        <v>23.130000000000006</v>
      </c>
      <c r="BA14" s="42"/>
      <c r="BB14" s="76">
        <f t="shared" si="31"/>
        <v>0.49907521578298392</v>
      </c>
      <c r="BC14" s="76">
        <f t="shared" si="31"/>
        <v>0.49870633893919802</v>
      </c>
    </row>
    <row r="15" spans="1:61" x14ac:dyDescent="0.25">
      <c r="B15" s="25" t="s">
        <v>26</v>
      </c>
      <c r="C15" s="149">
        <f>ROUND('Single Trip Incl Cruise'!C15*SUM(1+'Single Trip Inc Cruise re Jan25'!$D$1),2)</f>
        <v>21.09</v>
      </c>
      <c r="D15" s="149">
        <f>ROUND('Single Trip Incl Cruise'!D15*SUM(1+'Single Trip Inc Cruise re Jan25'!$D$1),2)</f>
        <v>29.3</v>
      </c>
      <c r="E15" s="41"/>
      <c r="F15" s="41">
        <f t="shared" si="18"/>
        <v>24.970559999999999</v>
      </c>
      <c r="G15" s="41">
        <f t="shared" si="18"/>
        <v>34.691200000000002</v>
      </c>
      <c r="H15" s="82"/>
      <c r="I15" s="41">
        <f t="shared" si="19"/>
        <v>3.8805599999999991</v>
      </c>
      <c r="J15" s="41">
        <f t="shared" si="19"/>
        <v>5.3912000000000013</v>
      </c>
      <c r="K15" s="82"/>
      <c r="L15" s="41">
        <f t="shared" si="20"/>
        <v>27.467000000000002</v>
      </c>
      <c r="M15" s="41">
        <f t="shared" si="20"/>
        <v>38.158999999999999</v>
      </c>
      <c r="N15" s="82"/>
      <c r="O15" s="41">
        <f t="shared" si="21"/>
        <v>6.3770000000000024</v>
      </c>
      <c r="P15" s="41">
        <f t="shared" si="21"/>
        <v>8.8589999999999982</v>
      </c>
      <c r="Q15" s="82"/>
      <c r="R15" s="76">
        <f t="shared" si="22"/>
        <v>0.10011789883767125</v>
      </c>
      <c r="S15" s="76">
        <f t="shared" si="22"/>
        <v>0.10002536666359192</v>
      </c>
      <c r="T15" s="82"/>
      <c r="U15" s="41">
        <f t="shared" si="23"/>
        <v>42.18</v>
      </c>
      <c r="V15" s="41">
        <f t="shared" si="23"/>
        <v>58.6</v>
      </c>
      <c r="W15" s="82"/>
      <c r="X15" s="41">
        <f t="shared" si="24"/>
        <v>50.62</v>
      </c>
      <c r="Y15" s="41">
        <f t="shared" si="24"/>
        <v>70.319999999999993</v>
      </c>
      <c r="AA15" s="182">
        <f t="shared" si="32"/>
        <v>50.6</v>
      </c>
      <c r="AB15" s="182">
        <f t="shared" si="32"/>
        <v>70.3</v>
      </c>
      <c r="AD15" s="40">
        <f t="shared" si="25"/>
        <v>42.166666666666671</v>
      </c>
      <c r="AE15" s="40">
        <f t="shared" si="25"/>
        <v>58.583333333333336</v>
      </c>
      <c r="AG15" s="40">
        <f t="shared" si="33"/>
        <v>1.9999999999996021E-2</v>
      </c>
      <c r="AH15" s="40">
        <f t="shared" si="33"/>
        <v>1.9999999999996021E-2</v>
      </c>
      <c r="AJ15" s="40">
        <f t="shared" si="26"/>
        <v>2.5</v>
      </c>
      <c r="AK15" s="40">
        <f t="shared" si="26"/>
        <v>3.47</v>
      </c>
      <c r="AL15" s="40"/>
      <c r="AM15" s="180">
        <f t="shared" si="34"/>
        <v>17.189440000000005</v>
      </c>
      <c r="AN15" s="180">
        <f t="shared" si="35"/>
        <v>23.888800000000003</v>
      </c>
      <c r="AP15" s="76">
        <f t="shared" si="27"/>
        <v>9.1999999999999985E-2</v>
      </c>
      <c r="AQ15" s="76">
        <f t="shared" si="27"/>
        <v>9.2000000000000026E-2</v>
      </c>
      <c r="AS15" s="76">
        <f t="shared" si="28"/>
        <v>0.40752584163110489</v>
      </c>
      <c r="AT15" s="76">
        <f t="shared" si="28"/>
        <v>0.4076587030716724</v>
      </c>
      <c r="AV15" s="76">
        <f t="shared" si="29"/>
        <v>0.5</v>
      </c>
      <c r="AW15" s="76">
        <f t="shared" si="29"/>
        <v>0.5</v>
      </c>
      <c r="AX15" s="42"/>
      <c r="AY15" s="42">
        <f t="shared" si="30"/>
        <v>21.070000000000004</v>
      </c>
      <c r="AZ15" s="42">
        <f t="shared" si="30"/>
        <v>29.280000000000005</v>
      </c>
      <c r="BA15" s="42"/>
      <c r="BB15" s="76">
        <f t="shared" si="31"/>
        <v>0.49952584163110486</v>
      </c>
      <c r="BC15" s="76">
        <f t="shared" si="31"/>
        <v>0.49965870307167243</v>
      </c>
    </row>
    <row r="16" spans="1:61" x14ac:dyDescent="0.25">
      <c r="B16" s="25" t="s">
        <v>27</v>
      </c>
      <c r="C16" s="149">
        <f>ROUND('Single Trip Incl Cruise'!C16*SUM(1+'Single Trip Inc Cruise re Jan25'!$D$1),2)</f>
        <v>24.7</v>
      </c>
      <c r="D16" s="149">
        <f>ROUND('Single Trip Incl Cruise'!D16*SUM(1+'Single Trip Inc Cruise re Jan25'!$D$1),2)</f>
        <v>34.15</v>
      </c>
      <c r="E16" s="41"/>
      <c r="F16" s="41">
        <f t="shared" si="18"/>
        <v>29.244799999999998</v>
      </c>
      <c r="G16" s="41">
        <f t="shared" si="18"/>
        <v>40.433599999999998</v>
      </c>
      <c r="H16" s="82"/>
      <c r="I16" s="41">
        <f t="shared" si="19"/>
        <v>4.5447999999999986</v>
      </c>
      <c r="J16" s="41">
        <f t="shared" si="19"/>
        <v>6.2835999999999999</v>
      </c>
      <c r="K16" s="82"/>
      <c r="L16" s="41">
        <f t="shared" si="20"/>
        <v>32.164000000000001</v>
      </c>
      <c r="M16" s="41">
        <f t="shared" si="20"/>
        <v>44.473000000000006</v>
      </c>
      <c r="N16" s="82"/>
      <c r="O16" s="41">
        <f t="shared" si="21"/>
        <v>7.4640000000000022</v>
      </c>
      <c r="P16" s="41">
        <f t="shared" si="21"/>
        <v>10.323000000000008</v>
      </c>
      <c r="Q16" s="82"/>
      <c r="R16" s="76">
        <f t="shared" si="22"/>
        <v>9.9846810373126163E-2</v>
      </c>
      <c r="S16" s="76">
        <f t="shared" si="22"/>
        <v>9.99169007953781E-2</v>
      </c>
      <c r="T16" s="82"/>
      <c r="U16" s="41">
        <f t="shared" si="23"/>
        <v>49.4</v>
      </c>
      <c r="V16" s="41">
        <f t="shared" si="23"/>
        <v>68.3</v>
      </c>
      <c r="W16" s="82"/>
      <c r="X16" s="41">
        <f t="shared" si="24"/>
        <v>59.28</v>
      </c>
      <c r="Y16" s="41">
        <f t="shared" si="24"/>
        <v>81.96</v>
      </c>
      <c r="AA16" s="182">
        <f t="shared" si="32"/>
        <v>59.2</v>
      </c>
      <c r="AB16" s="182">
        <f t="shared" si="32"/>
        <v>81.900000000000006</v>
      </c>
      <c r="AD16" s="40">
        <f t="shared" si="25"/>
        <v>49.333333333333336</v>
      </c>
      <c r="AE16" s="40">
        <f t="shared" si="25"/>
        <v>68.250000000000014</v>
      </c>
      <c r="AG16" s="40">
        <f t="shared" si="33"/>
        <v>7.9999999999998295E-2</v>
      </c>
      <c r="AH16" s="40">
        <f t="shared" si="33"/>
        <v>5.9999999999988063E-2</v>
      </c>
      <c r="AJ16" s="40">
        <f t="shared" si="26"/>
        <v>2.92</v>
      </c>
      <c r="AK16" s="40">
        <f t="shared" si="26"/>
        <v>4.04</v>
      </c>
      <c r="AL16" s="40"/>
      <c r="AM16" s="180">
        <f t="shared" si="34"/>
        <v>20.075200000000002</v>
      </c>
      <c r="AN16" s="180">
        <f t="shared" si="35"/>
        <v>27.806400000000011</v>
      </c>
      <c r="AP16" s="76">
        <f t="shared" si="27"/>
        <v>9.1999999999999971E-2</v>
      </c>
      <c r="AQ16" s="76">
        <f t="shared" si="27"/>
        <v>9.1999999999999998E-2</v>
      </c>
      <c r="AS16" s="76">
        <f t="shared" si="28"/>
        <v>0.40638056680161949</v>
      </c>
      <c r="AT16" s="76">
        <f t="shared" si="28"/>
        <v>0.40712152269399726</v>
      </c>
      <c r="AV16" s="76">
        <f t="shared" si="29"/>
        <v>0.5</v>
      </c>
      <c r="AW16" s="76">
        <f t="shared" si="29"/>
        <v>0.5</v>
      </c>
      <c r="AX16" s="42"/>
      <c r="AY16" s="42">
        <f t="shared" si="30"/>
        <v>24.62</v>
      </c>
      <c r="AZ16" s="42">
        <f t="shared" si="30"/>
        <v>34.090000000000011</v>
      </c>
      <c r="BA16" s="42"/>
      <c r="BB16" s="76">
        <f t="shared" si="31"/>
        <v>0.49838056680161946</v>
      </c>
      <c r="BC16" s="76">
        <f t="shared" si="31"/>
        <v>0.49912152269399723</v>
      </c>
    </row>
    <row r="17" spans="2:55" x14ac:dyDescent="0.25">
      <c r="B17" s="25" t="s">
        <v>29</v>
      </c>
      <c r="C17" s="149">
        <f>ROUND('Single Trip Incl Cruise'!C17*SUM(1+'Single Trip Inc Cruise re Jan25'!$D$1),2)</f>
        <v>3.15</v>
      </c>
      <c r="D17" s="149">
        <f>ROUND('Single Trip Incl Cruise'!D17*SUM(1+'Single Trip Inc Cruise re Jan25'!$D$1),2)</f>
        <v>4.28</v>
      </c>
      <c r="E17" s="41"/>
      <c r="F17" s="41">
        <f t="shared" si="18"/>
        <v>3.7295999999999996</v>
      </c>
      <c r="G17" s="41">
        <f t="shared" si="18"/>
        <v>5.06752</v>
      </c>
      <c r="H17" s="82"/>
      <c r="I17" s="41">
        <f t="shared" si="19"/>
        <v>0.57959999999999967</v>
      </c>
      <c r="J17" s="41">
        <f t="shared" si="19"/>
        <v>0.78751999999999978</v>
      </c>
      <c r="K17" s="82"/>
      <c r="L17" s="41">
        <f t="shared" si="20"/>
        <v>4.1030000000000006</v>
      </c>
      <c r="M17" s="41">
        <f t="shared" si="20"/>
        <v>5.5770000000000008</v>
      </c>
      <c r="N17" s="82"/>
      <c r="O17" s="41">
        <f t="shared" si="21"/>
        <v>0.95300000000000074</v>
      </c>
      <c r="P17" s="41">
        <f t="shared" si="21"/>
        <v>1.2970000000000006</v>
      </c>
      <c r="Q17" s="82"/>
      <c r="R17" s="76">
        <f t="shared" si="22"/>
        <v>9.9206349206349215E-2</v>
      </c>
      <c r="S17" s="76">
        <f t="shared" si="22"/>
        <v>0.10064094468300076</v>
      </c>
      <c r="T17" s="82"/>
      <c r="U17" s="41">
        <f t="shared" si="23"/>
        <v>6.3</v>
      </c>
      <c r="V17" s="41">
        <f t="shared" si="23"/>
        <v>8.56</v>
      </c>
      <c r="W17" s="82"/>
      <c r="X17" s="41">
        <f t="shared" si="24"/>
        <v>7.56</v>
      </c>
      <c r="Y17" s="41">
        <f t="shared" si="24"/>
        <v>10.27</v>
      </c>
      <c r="AA17" s="182">
        <f>ROUNDDOWN(C17/(1-$X$1)*1.2,1)</f>
        <v>7.5</v>
      </c>
      <c r="AB17" s="182">
        <f>ROUNDDOWN(D17/(1-$X$1)*1.2,1)</f>
        <v>10.199999999999999</v>
      </c>
      <c r="AD17" s="40">
        <f t="shared" si="25"/>
        <v>6.25</v>
      </c>
      <c r="AE17" s="40">
        <f t="shared" si="25"/>
        <v>8.5</v>
      </c>
      <c r="AG17" s="40">
        <f t="shared" si="33"/>
        <v>5.9999999999999609E-2</v>
      </c>
      <c r="AH17" s="40">
        <f t="shared" si="33"/>
        <v>7.0000000000000284E-2</v>
      </c>
      <c r="AJ17" s="40">
        <f t="shared" si="26"/>
        <v>0.37</v>
      </c>
      <c r="AK17" s="40">
        <f t="shared" si="26"/>
        <v>0.51</v>
      </c>
      <c r="AL17" s="40"/>
      <c r="AM17" s="180">
        <f t="shared" si="34"/>
        <v>2.5104000000000006</v>
      </c>
      <c r="AN17" s="180">
        <f t="shared" si="35"/>
        <v>3.4224800000000002</v>
      </c>
      <c r="AP17" s="76">
        <f t="shared" si="27"/>
        <v>9.1999999999999957E-2</v>
      </c>
      <c r="AQ17" s="76">
        <f t="shared" si="27"/>
        <v>9.1999999999999971E-2</v>
      </c>
      <c r="AS17" s="76">
        <f t="shared" si="28"/>
        <v>0.39847619047619059</v>
      </c>
      <c r="AT17" s="76">
        <f t="shared" si="28"/>
        <v>0.39982242990654204</v>
      </c>
      <c r="AV17" s="76">
        <f t="shared" si="29"/>
        <v>0.5</v>
      </c>
      <c r="AW17" s="76">
        <f t="shared" si="29"/>
        <v>0.5</v>
      </c>
      <c r="AX17" s="42"/>
      <c r="AY17" s="42">
        <f t="shared" si="30"/>
        <v>3.0900000000000003</v>
      </c>
      <c r="AZ17" s="42">
        <f t="shared" si="30"/>
        <v>4.21</v>
      </c>
      <c r="BA17" s="42"/>
      <c r="BB17" s="76">
        <f t="shared" si="31"/>
        <v>0.49047619047619057</v>
      </c>
      <c r="BC17" s="76">
        <f t="shared" si="31"/>
        <v>0.49182242990654201</v>
      </c>
    </row>
    <row r="18" spans="2:55" x14ac:dyDescent="0.25">
      <c r="B18" s="25"/>
      <c r="C18" s="41"/>
      <c r="D18" s="41"/>
      <c r="E18" s="41"/>
      <c r="F18" s="41"/>
      <c r="G18" s="41"/>
      <c r="H18" s="82"/>
      <c r="I18" s="82"/>
      <c r="J18" s="82"/>
      <c r="K18" s="82"/>
      <c r="L18" s="41"/>
      <c r="M18" s="41"/>
      <c r="N18" s="4"/>
      <c r="O18" s="4"/>
      <c r="P18" s="4"/>
      <c r="Q18" s="4"/>
      <c r="R18" s="78"/>
      <c r="T18" s="4"/>
      <c r="U18" s="4"/>
      <c r="V18" s="4"/>
      <c r="W18" s="4"/>
      <c r="AJ18" s="40"/>
      <c r="AK18" s="40"/>
      <c r="AL18" s="40"/>
      <c r="AS18" s="103"/>
      <c r="AT18" s="103"/>
      <c r="AV18" s="40"/>
      <c r="AW18" s="40"/>
      <c r="BB18" s="77"/>
      <c r="BC18" s="77"/>
    </row>
    <row r="19" spans="2:55" x14ac:dyDescent="0.25">
      <c r="B19" s="32" t="s">
        <v>30</v>
      </c>
      <c r="C19" s="41"/>
      <c r="D19" s="41"/>
      <c r="E19" s="41"/>
      <c r="F19" s="41"/>
      <c r="G19" s="41"/>
      <c r="H19" s="82"/>
      <c r="I19" s="82"/>
      <c r="J19" s="82"/>
      <c r="K19" s="82"/>
      <c r="L19" s="41"/>
      <c r="M19" s="41"/>
      <c r="N19" s="4"/>
      <c r="O19" s="4"/>
      <c r="P19" s="4"/>
      <c r="Q19" s="4"/>
      <c r="R19" s="78"/>
      <c r="T19" s="4"/>
      <c r="U19" s="4"/>
      <c r="V19" s="4"/>
      <c r="W19" s="4"/>
      <c r="AJ19" s="40"/>
      <c r="AK19" s="40"/>
      <c r="AL19" s="40"/>
      <c r="AS19" s="103"/>
      <c r="AT19" s="103"/>
      <c r="AV19" s="40"/>
      <c r="AW19" s="40"/>
      <c r="BB19" s="77"/>
      <c r="BC19" s="77"/>
    </row>
    <row r="20" spans="2:55" x14ac:dyDescent="0.25">
      <c r="B20" s="25" t="s">
        <v>31</v>
      </c>
      <c r="C20" s="149">
        <f>ROUND('Single Trip Incl Cruise'!C20*SUM(1+'Single Trip Inc Cruise re Jan25'!$D$1),2)</f>
        <v>23.2</v>
      </c>
      <c r="D20" s="149">
        <f>ROUND('Single Trip Incl Cruise'!D20*SUM(1+'Single Trip Inc Cruise re Jan25'!$D$1),2)</f>
        <v>28.27</v>
      </c>
      <c r="E20" s="41"/>
      <c r="F20" s="41">
        <f t="shared" ref="F20:G25" si="36">C20*SUM(1+$G$1/$X$1)</f>
        <v>27.468799999999998</v>
      </c>
      <c r="G20" s="41">
        <f t="shared" si="36"/>
        <v>33.471679999999999</v>
      </c>
      <c r="H20" s="82"/>
      <c r="I20" s="41">
        <f t="shared" ref="I20:J25" si="37">F20-C20</f>
        <v>4.2687999999999988</v>
      </c>
      <c r="J20" s="41">
        <f t="shared" si="37"/>
        <v>5.2016799999999996</v>
      </c>
      <c r="K20" s="82"/>
      <c r="L20" s="41">
        <f t="shared" ref="L20:M25" si="38">ROUND(C20*(1+$G$1*2),2)*SUM(1+$M$1)</f>
        <v>30.217000000000002</v>
      </c>
      <c r="M20" s="41">
        <f t="shared" si="38"/>
        <v>36.817</v>
      </c>
      <c r="N20" s="82"/>
      <c r="O20" s="41">
        <f t="shared" ref="O20:P25" si="39">L20-C20</f>
        <v>7.017000000000003</v>
      </c>
      <c r="P20" s="41">
        <f t="shared" si="39"/>
        <v>8.5470000000000006</v>
      </c>
      <c r="Q20" s="82"/>
      <c r="R20" s="76">
        <f t="shared" ref="R20:S25" si="40">AJ20/F20</f>
        <v>0.10011358341099721</v>
      </c>
      <c r="S20" s="76">
        <f t="shared" si="40"/>
        <v>0.10008460883947266</v>
      </c>
      <c r="T20" s="82"/>
      <c r="U20" s="41">
        <f t="shared" ref="U20:V25" si="41">SUM(C20/(1-$X$1))</f>
        <v>46.4</v>
      </c>
      <c r="V20" s="41">
        <f t="shared" si="41"/>
        <v>56.54</v>
      </c>
      <c r="W20" s="82"/>
      <c r="X20" s="41">
        <f t="shared" ref="X20:Y25" si="42">ROUND(C20/(1-$X$1)*1.2,2)</f>
        <v>55.68</v>
      </c>
      <c r="Y20" s="41">
        <f t="shared" si="42"/>
        <v>67.849999999999994</v>
      </c>
      <c r="AA20" s="182">
        <f>ROUNDDOWN(C20/(1-$X$1)*1.2,1)</f>
        <v>55.6</v>
      </c>
      <c r="AB20" s="182">
        <f>ROUNDDOWN(D20/(1-$X$1)*1.2,1)</f>
        <v>67.8</v>
      </c>
      <c r="AD20" s="40">
        <f t="shared" ref="AD20:AE25" si="43">AA20/1.2</f>
        <v>46.333333333333336</v>
      </c>
      <c r="AE20" s="40">
        <f t="shared" si="43"/>
        <v>56.5</v>
      </c>
      <c r="AG20" s="40">
        <f>X20-AA20</f>
        <v>7.9999999999998295E-2</v>
      </c>
      <c r="AH20" s="40">
        <f>Y20-AB20</f>
        <v>4.9999999999997158E-2</v>
      </c>
      <c r="AJ20" s="40">
        <f t="shared" ref="AJ20:AK25" si="44">ROUND(L20*(1-(1/(1+$AL$1))),2)</f>
        <v>2.75</v>
      </c>
      <c r="AK20" s="40">
        <f t="shared" si="44"/>
        <v>3.35</v>
      </c>
      <c r="AL20" s="40"/>
      <c r="AM20" s="180">
        <f>SUM(U20-F20)-AG20</f>
        <v>18.851200000000002</v>
      </c>
      <c r="AN20" s="180">
        <f>SUM(V20-G20)-AH20</f>
        <v>23.018320000000003</v>
      </c>
      <c r="AP20" s="76">
        <f t="shared" ref="AP20:AQ25" si="45">(SUM(F20-C20)/C20)*$X$1</f>
        <v>9.1999999999999971E-2</v>
      </c>
      <c r="AQ20" s="76">
        <f t="shared" si="45"/>
        <v>9.1999999999999998E-2</v>
      </c>
      <c r="AS20" s="76">
        <f t="shared" ref="AS20:AT25" si="46">AM20/U20</f>
        <v>0.4062758620689656</v>
      </c>
      <c r="AT20" s="76">
        <f t="shared" si="46"/>
        <v>0.40711567032189605</v>
      </c>
      <c r="AV20" s="76">
        <f t="shared" ref="AV20:AW25" si="47">C20/U20</f>
        <v>0.5</v>
      </c>
      <c r="AW20" s="76">
        <f t="shared" si="47"/>
        <v>0.5</v>
      </c>
      <c r="AX20" s="42"/>
      <c r="AY20" s="42">
        <f t="shared" ref="AY20:AZ25" si="48">I20+AM20</f>
        <v>23.12</v>
      </c>
      <c r="AZ20" s="42">
        <f t="shared" si="48"/>
        <v>28.220000000000002</v>
      </c>
      <c r="BA20" s="42"/>
      <c r="BB20" s="76">
        <f t="shared" ref="BB20:BC25" si="49">AY20/(C20/$X$1)</f>
        <v>0.49827586206896557</v>
      </c>
      <c r="BC20" s="76">
        <f t="shared" si="49"/>
        <v>0.49911567032189608</v>
      </c>
    </row>
    <row r="21" spans="2:55" x14ac:dyDescent="0.25">
      <c r="B21" s="25" t="s">
        <v>24</v>
      </c>
      <c r="C21" s="149">
        <f>ROUND('Single Trip Incl Cruise'!C21*SUM(1+'Single Trip Inc Cruise re Jan25'!$D$1),2)</f>
        <v>27.51</v>
      </c>
      <c r="D21" s="149">
        <f>ROUND('Single Trip Incl Cruise'!D21*SUM(1+'Single Trip Inc Cruise re Jan25'!$D$1),2)</f>
        <v>31.24</v>
      </c>
      <c r="E21" s="41"/>
      <c r="F21" s="41">
        <f t="shared" si="36"/>
        <v>32.571840000000002</v>
      </c>
      <c r="G21" s="41">
        <f t="shared" si="36"/>
        <v>36.988159999999993</v>
      </c>
      <c r="H21" s="82"/>
      <c r="I21" s="41">
        <f t="shared" si="37"/>
        <v>5.0618400000000001</v>
      </c>
      <c r="J21" s="41">
        <f t="shared" si="37"/>
        <v>5.7481599999999951</v>
      </c>
      <c r="K21" s="82"/>
      <c r="L21" s="41">
        <f t="shared" si="38"/>
        <v>35.827000000000005</v>
      </c>
      <c r="M21" s="41">
        <f t="shared" si="38"/>
        <v>40.689000000000007</v>
      </c>
      <c r="N21" s="82"/>
      <c r="O21" s="41">
        <f t="shared" si="39"/>
        <v>8.3170000000000037</v>
      </c>
      <c r="P21" s="41">
        <f t="shared" si="39"/>
        <v>9.4490000000000087</v>
      </c>
      <c r="Q21" s="82"/>
      <c r="R21" s="76">
        <f t="shared" si="40"/>
        <v>0.1000864550482871</v>
      </c>
      <c r="S21" s="76">
        <f t="shared" si="40"/>
        <v>0.10003201024327787</v>
      </c>
      <c r="T21" s="82"/>
      <c r="U21" s="41">
        <f t="shared" si="41"/>
        <v>55.02</v>
      </c>
      <c r="V21" s="41">
        <f t="shared" si="41"/>
        <v>62.48</v>
      </c>
      <c r="W21" s="82"/>
      <c r="X21" s="41">
        <f t="shared" si="42"/>
        <v>66.02</v>
      </c>
      <c r="Y21" s="41">
        <f t="shared" si="42"/>
        <v>74.98</v>
      </c>
      <c r="AA21" s="182">
        <f t="shared" ref="AA21:AB24" si="50">ROUNDDOWN(C21/(1-$X$1)*1.2,1)</f>
        <v>66</v>
      </c>
      <c r="AB21" s="182">
        <f t="shared" si="50"/>
        <v>74.900000000000006</v>
      </c>
      <c r="AD21" s="40">
        <f t="shared" si="43"/>
        <v>55</v>
      </c>
      <c r="AE21" s="40">
        <f t="shared" si="43"/>
        <v>62.416666666666671</v>
      </c>
      <c r="AG21" s="40">
        <f t="shared" ref="AG21:AH25" si="51">X21-AA21</f>
        <v>1.9999999999996021E-2</v>
      </c>
      <c r="AH21" s="40">
        <f t="shared" si="51"/>
        <v>7.9999999999998295E-2</v>
      </c>
      <c r="AJ21" s="40">
        <f t="shared" si="44"/>
        <v>3.26</v>
      </c>
      <c r="AK21" s="40">
        <f t="shared" si="44"/>
        <v>3.7</v>
      </c>
      <c r="AL21" s="40"/>
      <c r="AM21" s="180">
        <f t="shared" ref="AM21:AM25" si="52">SUM(U21-F21)-AG21</f>
        <v>22.428160000000005</v>
      </c>
      <c r="AN21" s="180">
        <f t="shared" ref="AN21:AN25" si="53">SUM(V21-G21)-AH21</f>
        <v>25.411840000000005</v>
      </c>
      <c r="AP21" s="76">
        <f t="shared" si="45"/>
        <v>9.1999999999999998E-2</v>
      </c>
      <c r="AQ21" s="76">
        <f t="shared" si="45"/>
        <v>9.1999999999999929E-2</v>
      </c>
      <c r="AS21" s="76">
        <f t="shared" si="46"/>
        <v>0.40763649581970202</v>
      </c>
      <c r="AT21" s="76">
        <f t="shared" si="46"/>
        <v>0.40671959026888616</v>
      </c>
      <c r="AV21" s="76">
        <f t="shared" si="47"/>
        <v>0.5</v>
      </c>
      <c r="AW21" s="76">
        <f t="shared" si="47"/>
        <v>0.5</v>
      </c>
      <c r="AX21" s="42"/>
      <c r="AY21" s="42">
        <f t="shared" si="48"/>
        <v>27.490000000000006</v>
      </c>
      <c r="AZ21" s="42">
        <f t="shared" si="48"/>
        <v>31.16</v>
      </c>
      <c r="BA21" s="42"/>
      <c r="BB21" s="76">
        <f t="shared" si="49"/>
        <v>0.49963649581970199</v>
      </c>
      <c r="BC21" s="76">
        <f t="shared" si="49"/>
        <v>0.49871959026888607</v>
      </c>
    </row>
    <row r="22" spans="2:55" x14ac:dyDescent="0.25">
      <c r="B22" s="25" t="s">
        <v>25</v>
      </c>
      <c r="C22" s="149">
        <f>ROUND('Single Trip Incl Cruise'!C22*SUM(1+'Single Trip Inc Cruise re Jan25'!$D$1),2)</f>
        <v>33.1</v>
      </c>
      <c r="D22" s="149">
        <f>ROUND('Single Trip Incl Cruise'!D22*SUM(1+'Single Trip Inc Cruise re Jan25'!$D$1),2)</f>
        <v>37.92</v>
      </c>
      <c r="E22" s="41"/>
      <c r="F22" s="41">
        <f t="shared" si="36"/>
        <v>39.190399999999997</v>
      </c>
      <c r="G22" s="41">
        <f t="shared" si="36"/>
        <v>44.897280000000002</v>
      </c>
      <c r="H22" s="82"/>
      <c r="I22" s="41">
        <f t="shared" si="37"/>
        <v>6.0903999999999954</v>
      </c>
      <c r="J22" s="41">
        <f t="shared" si="37"/>
        <v>6.9772800000000004</v>
      </c>
      <c r="K22" s="82"/>
      <c r="L22" s="41">
        <f t="shared" si="38"/>
        <v>43.109000000000002</v>
      </c>
      <c r="M22" s="41">
        <f t="shared" si="38"/>
        <v>49.39</v>
      </c>
      <c r="N22" s="82"/>
      <c r="O22" s="41">
        <f t="shared" si="39"/>
        <v>10.009</v>
      </c>
      <c r="P22" s="41">
        <f t="shared" si="39"/>
        <v>11.469999999999999</v>
      </c>
      <c r="Q22" s="82"/>
      <c r="R22" s="76">
        <f t="shared" si="40"/>
        <v>0.10002449579488855</v>
      </c>
      <c r="S22" s="76">
        <f t="shared" si="40"/>
        <v>0.10000605827346333</v>
      </c>
      <c r="T22" s="82"/>
      <c r="U22" s="41">
        <f t="shared" si="41"/>
        <v>66.2</v>
      </c>
      <c r="V22" s="41">
        <f t="shared" si="41"/>
        <v>75.84</v>
      </c>
      <c r="W22" s="82"/>
      <c r="X22" s="41">
        <f t="shared" si="42"/>
        <v>79.44</v>
      </c>
      <c r="Y22" s="41">
        <f t="shared" si="42"/>
        <v>91.01</v>
      </c>
      <c r="AA22" s="182">
        <f t="shared" si="50"/>
        <v>79.400000000000006</v>
      </c>
      <c r="AB22" s="182">
        <f t="shared" si="50"/>
        <v>91</v>
      </c>
      <c r="AD22" s="40">
        <f t="shared" si="43"/>
        <v>66.166666666666671</v>
      </c>
      <c r="AE22" s="40">
        <f t="shared" si="43"/>
        <v>75.833333333333343</v>
      </c>
      <c r="AG22" s="40">
        <f t="shared" si="51"/>
        <v>3.9999999999992042E-2</v>
      </c>
      <c r="AH22" s="40">
        <f t="shared" si="51"/>
        <v>1.0000000000005116E-2</v>
      </c>
      <c r="AJ22" s="40">
        <f t="shared" si="44"/>
        <v>3.92</v>
      </c>
      <c r="AK22" s="40">
        <f t="shared" si="44"/>
        <v>4.49</v>
      </c>
      <c r="AL22" s="40"/>
      <c r="AM22" s="180">
        <f t="shared" si="52"/>
        <v>26.969600000000014</v>
      </c>
      <c r="AN22" s="180">
        <f t="shared" si="53"/>
        <v>30.932719999999996</v>
      </c>
      <c r="AP22" s="76">
        <f t="shared" si="45"/>
        <v>9.1999999999999929E-2</v>
      </c>
      <c r="AQ22" s="76">
        <f t="shared" si="45"/>
        <v>9.1999999999999998E-2</v>
      </c>
      <c r="AS22" s="76">
        <f t="shared" si="46"/>
        <v>0.40739577039274943</v>
      </c>
      <c r="AT22" s="76">
        <f t="shared" si="46"/>
        <v>0.40786814345991557</v>
      </c>
      <c r="AV22" s="76">
        <f t="shared" si="47"/>
        <v>0.5</v>
      </c>
      <c r="AW22" s="76">
        <f t="shared" si="47"/>
        <v>0.5</v>
      </c>
      <c r="AX22" s="42"/>
      <c r="AY22" s="42">
        <f t="shared" si="48"/>
        <v>33.060000000000009</v>
      </c>
      <c r="AZ22" s="42">
        <f t="shared" si="48"/>
        <v>37.909999999999997</v>
      </c>
      <c r="BA22" s="42"/>
      <c r="BB22" s="76">
        <f t="shared" si="49"/>
        <v>0.49939577039274935</v>
      </c>
      <c r="BC22" s="76">
        <f t="shared" si="49"/>
        <v>0.49986814345991554</v>
      </c>
    </row>
    <row r="23" spans="2:55" x14ac:dyDescent="0.25">
      <c r="B23" s="25" t="s">
        <v>26</v>
      </c>
      <c r="C23" s="149">
        <f>ROUND('Single Trip Incl Cruise'!C23*SUM(1+'Single Trip Inc Cruise re Jan25'!$D$1),2)</f>
        <v>40.380000000000003</v>
      </c>
      <c r="D23" s="149">
        <f>ROUND('Single Trip Incl Cruise'!D23*SUM(1+'Single Trip Inc Cruise re Jan25'!$D$1),2)</f>
        <v>46.28</v>
      </c>
      <c r="E23" s="41"/>
      <c r="F23" s="41">
        <f t="shared" si="36"/>
        <v>47.809919999999998</v>
      </c>
      <c r="G23" s="41">
        <f t="shared" si="36"/>
        <v>54.795519999999996</v>
      </c>
      <c r="H23" s="82"/>
      <c r="I23" s="41">
        <f t="shared" si="37"/>
        <v>7.4299199999999956</v>
      </c>
      <c r="J23" s="41">
        <f t="shared" si="37"/>
        <v>8.5155199999999951</v>
      </c>
      <c r="K23" s="82"/>
      <c r="L23" s="41">
        <f t="shared" si="38"/>
        <v>52.591000000000008</v>
      </c>
      <c r="M23" s="41">
        <f t="shared" si="38"/>
        <v>60.28</v>
      </c>
      <c r="N23" s="82"/>
      <c r="O23" s="41">
        <f t="shared" si="39"/>
        <v>12.211000000000006</v>
      </c>
      <c r="P23" s="41">
        <f t="shared" si="39"/>
        <v>14</v>
      </c>
      <c r="Q23" s="82"/>
      <c r="R23" s="76">
        <f t="shared" si="40"/>
        <v>9.9979251167958458E-2</v>
      </c>
      <c r="S23" s="76">
        <f t="shared" si="40"/>
        <v>0.10000817585087249</v>
      </c>
      <c r="T23" s="82"/>
      <c r="U23" s="41">
        <f t="shared" si="41"/>
        <v>80.760000000000005</v>
      </c>
      <c r="V23" s="41">
        <f t="shared" si="41"/>
        <v>92.56</v>
      </c>
      <c r="W23" s="82"/>
      <c r="X23" s="41">
        <f t="shared" si="42"/>
        <v>96.91</v>
      </c>
      <c r="Y23" s="41">
        <f t="shared" si="42"/>
        <v>111.07</v>
      </c>
      <c r="AA23" s="182">
        <f t="shared" si="50"/>
        <v>96.9</v>
      </c>
      <c r="AB23" s="182">
        <f t="shared" si="50"/>
        <v>111</v>
      </c>
      <c r="AD23" s="40">
        <f t="shared" si="43"/>
        <v>80.750000000000014</v>
      </c>
      <c r="AE23" s="40">
        <f t="shared" si="43"/>
        <v>92.5</v>
      </c>
      <c r="AG23" s="40">
        <f t="shared" si="51"/>
        <v>9.9999999999909051E-3</v>
      </c>
      <c r="AH23" s="40">
        <f t="shared" si="51"/>
        <v>6.9999999999993179E-2</v>
      </c>
      <c r="AJ23" s="40">
        <f t="shared" si="44"/>
        <v>4.78</v>
      </c>
      <c r="AK23" s="40">
        <f t="shared" si="44"/>
        <v>5.48</v>
      </c>
      <c r="AL23" s="40"/>
      <c r="AM23" s="180">
        <f t="shared" si="52"/>
        <v>32.940080000000016</v>
      </c>
      <c r="AN23" s="180">
        <f t="shared" si="53"/>
        <v>37.694480000000013</v>
      </c>
      <c r="AP23" s="76">
        <f t="shared" si="45"/>
        <v>9.1999999999999943E-2</v>
      </c>
      <c r="AQ23" s="76">
        <f t="shared" si="45"/>
        <v>9.1999999999999943E-2</v>
      </c>
      <c r="AS23" s="76">
        <f t="shared" si="46"/>
        <v>0.40787617632491352</v>
      </c>
      <c r="AT23" s="76">
        <f t="shared" si="46"/>
        <v>0.40724373379429574</v>
      </c>
      <c r="AV23" s="76">
        <f t="shared" si="47"/>
        <v>0.5</v>
      </c>
      <c r="AW23" s="76">
        <f t="shared" si="47"/>
        <v>0.5</v>
      </c>
      <c r="AX23" s="42"/>
      <c r="AY23" s="42">
        <f t="shared" si="48"/>
        <v>40.370000000000012</v>
      </c>
      <c r="AZ23" s="42">
        <f t="shared" si="48"/>
        <v>46.210000000000008</v>
      </c>
      <c r="BA23" s="42"/>
      <c r="BB23" s="76">
        <f t="shared" si="49"/>
        <v>0.49987617632491343</v>
      </c>
      <c r="BC23" s="76">
        <f t="shared" si="49"/>
        <v>0.49924373379429565</v>
      </c>
    </row>
    <row r="24" spans="2:55" x14ac:dyDescent="0.25">
      <c r="B24" s="25" t="s">
        <v>27</v>
      </c>
      <c r="C24" s="149">
        <f>ROUND('Single Trip Incl Cruise'!C24*SUM(1+'Single Trip Inc Cruise re Jan25'!$D$1),2)</f>
        <v>45.11</v>
      </c>
      <c r="D24" s="149">
        <f>ROUND('Single Trip Incl Cruise'!D24*SUM(1+'Single Trip Inc Cruise re Jan25'!$D$1),2)</f>
        <v>50.87</v>
      </c>
      <c r="E24" s="41"/>
      <c r="F24" s="41">
        <f t="shared" si="36"/>
        <v>53.410239999999995</v>
      </c>
      <c r="G24" s="41">
        <f t="shared" si="36"/>
        <v>60.230079999999994</v>
      </c>
      <c r="H24" s="82"/>
      <c r="I24" s="41">
        <f t="shared" si="37"/>
        <v>8.3002399999999952</v>
      </c>
      <c r="J24" s="41">
        <f t="shared" si="37"/>
        <v>9.3600799999999964</v>
      </c>
      <c r="K24" s="82"/>
      <c r="L24" s="41">
        <f t="shared" si="38"/>
        <v>58.750999999999998</v>
      </c>
      <c r="M24" s="41">
        <f t="shared" si="38"/>
        <v>66.253</v>
      </c>
      <c r="N24" s="82"/>
      <c r="O24" s="41">
        <f t="shared" si="39"/>
        <v>13.640999999999998</v>
      </c>
      <c r="P24" s="41">
        <f t="shared" si="39"/>
        <v>15.383000000000003</v>
      </c>
      <c r="Q24" s="82"/>
      <c r="R24" s="76">
        <f t="shared" si="40"/>
        <v>9.998082764653371E-2</v>
      </c>
      <c r="S24" s="76">
        <f t="shared" si="40"/>
        <v>9.9950058176910939E-2</v>
      </c>
      <c r="T24" s="82"/>
      <c r="U24" s="41">
        <f t="shared" si="41"/>
        <v>90.22</v>
      </c>
      <c r="V24" s="41">
        <f t="shared" si="41"/>
        <v>101.74</v>
      </c>
      <c r="W24" s="82"/>
      <c r="X24" s="41">
        <f t="shared" si="42"/>
        <v>108.26</v>
      </c>
      <c r="Y24" s="41">
        <f t="shared" si="42"/>
        <v>122.09</v>
      </c>
      <c r="AA24" s="182">
        <f t="shared" si="50"/>
        <v>108.2</v>
      </c>
      <c r="AB24" s="182">
        <f t="shared" si="50"/>
        <v>122</v>
      </c>
      <c r="AD24" s="40">
        <f t="shared" si="43"/>
        <v>90.166666666666671</v>
      </c>
      <c r="AE24" s="40">
        <f t="shared" si="43"/>
        <v>101.66666666666667</v>
      </c>
      <c r="AG24" s="40">
        <f t="shared" si="51"/>
        <v>6.0000000000002274E-2</v>
      </c>
      <c r="AH24" s="40">
        <f t="shared" si="51"/>
        <v>9.0000000000003411E-2</v>
      </c>
      <c r="AJ24" s="40">
        <f t="shared" si="44"/>
        <v>5.34</v>
      </c>
      <c r="AK24" s="40">
        <f t="shared" si="44"/>
        <v>6.02</v>
      </c>
      <c r="AL24" s="40"/>
      <c r="AM24" s="180">
        <f t="shared" si="52"/>
        <v>36.749760000000002</v>
      </c>
      <c r="AN24" s="180">
        <f t="shared" si="53"/>
        <v>41.419919999999998</v>
      </c>
      <c r="AP24" s="76">
        <f t="shared" si="45"/>
        <v>9.1999999999999943E-2</v>
      </c>
      <c r="AQ24" s="76">
        <f t="shared" si="45"/>
        <v>9.1999999999999971E-2</v>
      </c>
      <c r="AS24" s="76">
        <f t="shared" si="46"/>
        <v>0.40733495898913769</v>
      </c>
      <c r="AT24" s="76">
        <f t="shared" si="46"/>
        <v>0.40711539217613524</v>
      </c>
      <c r="AV24" s="76">
        <f t="shared" si="47"/>
        <v>0.5</v>
      </c>
      <c r="AW24" s="76">
        <f t="shared" si="47"/>
        <v>0.5</v>
      </c>
      <c r="AX24" s="42"/>
      <c r="AY24" s="42">
        <f t="shared" si="48"/>
        <v>45.05</v>
      </c>
      <c r="AZ24" s="42">
        <f t="shared" si="48"/>
        <v>50.779999999999994</v>
      </c>
      <c r="BA24" s="42"/>
      <c r="BB24" s="76">
        <f t="shared" si="49"/>
        <v>0.49933495898913766</v>
      </c>
      <c r="BC24" s="76">
        <f t="shared" si="49"/>
        <v>0.49911539217613521</v>
      </c>
    </row>
    <row r="25" spans="2:55" x14ac:dyDescent="0.25">
      <c r="B25" s="25" t="s">
        <v>29</v>
      </c>
      <c r="C25" s="149">
        <f>ROUND('Single Trip Incl Cruise'!C25*SUM(1+'Single Trip Inc Cruise re Jan25'!$D$1),2)</f>
        <v>6.08</v>
      </c>
      <c r="D25" s="149">
        <f>ROUND('Single Trip Incl Cruise'!D25*SUM(1+'Single Trip Inc Cruise re Jan25'!$D$1),2)</f>
        <v>6.65</v>
      </c>
      <c r="E25" s="41"/>
      <c r="F25" s="41">
        <f t="shared" si="36"/>
        <v>7.1987199999999998</v>
      </c>
      <c r="G25" s="41">
        <f t="shared" si="36"/>
        <v>7.8735999999999997</v>
      </c>
      <c r="H25" s="82"/>
      <c r="I25" s="41">
        <f t="shared" si="37"/>
        <v>1.1187199999999997</v>
      </c>
      <c r="J25" s="41">
        <f t="shared" si="37"/>
        <v>1.2235999999999994</v>
      </c>
      <c r="K25" s="82"/>
      <c r="L25" s="41">
        <f t="shared" si="38"/>
        <v>7.9200000000000008</v>
      </c>
      <c r="M25" s="41">
        <f t="shared" si="38"/>
        <v>8.657</v>
      </c>
      <c r="N25" s="82"/>
      <c r="O25" s="41">
        <f t="shared" si="39"/>
        <v>1.8400000000000007</v>
      </c>
      <c r="P25" s="41">
        <f t="shared" si="39"/>
        <v>2.0069999999999997</v>
      </c>
      <c r="Q25" s="82"/>
      <c r="R25" s="76">
        <f t="shared" si="40"/>
        <v>0.10001778093883357</v>
      </c>
      <c r="S25" s="76">
        <f t="shared" si="40"/>
        <v>0.10033529770371877</v>
      </c>
      <c r="T25" s="82"/>
      <c r="U25" s="41">
        <f t="shared" si="41"/>
        <v>12.16</v>
      </c>
      <c r="V25" s="41">
        <f t="shared" si="41"/>
        <v>13.3</v>
      </c>
      <c r="W25" s="82"/>
      <c r="X25" s="41">
        <f t="shared" si="42"/>
        <v>14.59</v>
      </c>
      <c r="Y25" s="41">
        <f t="shared" si="42"/>
        <v>15.96</v>
      </c>
      <c r="AA25" s="182">
        <f>ROUNDDOWN(C25/(1-$X$1)*1.2,1)</f>
        <v>14.5</v>
      </c>
      <c r="AB25" s="182">
        <f>ROUNDDOWN(D25/(1-$X$1)*1.2,1)</f>
        <v>15.9</v>
      </c>
      <c r="AD25" s="40">
        <f t="shared" si="43"/>
        <v>12.083333333333334</v>
      </c>
      <c r="AE25" s="40">
        <f t="shared" si="43"/>
        <v>13.25</v>
      </c>
      <c r="AG25" s="40">
        <f t="shared" si="51"/>
        <v>8.9999999999999858E-2</v>
      </c>
      <c r="AH25" s="40">
        <f t="shared" si="51"/>
        <v>6.0000000000000497E-2</v>
      </c>
      <c r="AJ25" s="40">
        <f t="shared" si="44"/>
        <v>0.72</v>
      </c>
      <c r="AK25" s="40">
        <f t="shared" si="44"/>
        <v>0.79</v>
      </c>
      <c r="AL25" s="40"/>
      <c r="AM25" s="180">
        <f t="shared" si="52"/>
        <v>4.8712800000000005</v>
      </c>
      <c r="AN25" s="180">
        <f t="shared" si="53"/>
        <v>5.3664000000000005</v>
      </c>
      <c r="AP25" s="76">
        <f t="shared" si="45"/>
        <v>9.1999999999999971E-2</v>
      </c>
      <c r="AQ25" s="76">
        <f t="shared" si="45"/>
        <v>9.1999999999999943E-2</v>
      </c>
      <c r="AS25" s="76">
        <f t="shared" si="46"/>
        <v>0.40059868421052636</v>
      </c>
      <c r="AT25" s="76">
        <f t="shared" si="46"/>
        <v>0.40348872180451129</v>
      </c>
      <c r="AV25" s="76">
        <f t="shared" si="47"/>
        <v>0.5</v>
      </c>
      <c r="AW25" s="76">
        <f t="shared" si="47"/>
        <v>0.5</v>
      </c>
      <c r="AX25" s="42"/>
      <c r="AY25" s="42">
        <f t="shared" si="48"/>
        <v>5.99</v>
      </c>
      <c r="AZ25" s="42">
        <f t="shared" si="48"/>
        <v>6.59</v>
      </c>
      <c r="BA25" s="42"/>
      <c r="BB25" s="76">
        <f t="shared" si="49"/>
        <v>0.49259868421052633</v>
      </c>
      <c r="BC25" s="76">
        <f t="shared" si="49"/>
        <v>0.49548872180451126</v>
      </c>
    </row>
    <row r="26" spans="2:55" x14ac:dyDescent="0.25">
      <c r="B26" s="25"/>
      <c r="C26" s="41"/>
      <c r="D26" s="41"/>
      <c r="E26" s="41"/>
      <c r="F26" s="41"/>
      <c r="G26" s="41"/>
      <c r="H26" s="82"/>
      <c r="I26" s="82"/>
      <c r="J26" s="82"/>
      <c r="K26" s="82"/>
      <c r="L26" s="41"/>
      <c r="M26" s="41"/>
      <c r="N26" s="4"/>
      <c r="O26" s="4"/>
      <c r="P26" s="4"/>
      <c r="Q26" s="4"/>
      <c r="R26" s="78"/>
      <c r="T26" s="4"/>
      <c r="U26" s="4"/>
      <c r="V26" s="4"/>
      <c r="W26" s="4"/>
      <c r="AJ26" s="40"/>
      <c r="AK26" s="40"/>
      <c r="AL26" s="40"/>
      <c r="AM26" s="102"/>
      <c r="AN26" s="102"/>
      <c r="AS26" s="76"/>
      <c r="AT26" s="76"/>
      <c r="AV26" s="40"/>
      <c r="AW26" s="40"/>
      <c r="BB26" s="77"/>
      <c r="BC26" s="77"/>
    </row>
    <row r="27" spans="2:55" x14ac:dyDescent="0.25">
      <c r="B27" s="32" t="s">
        <v>32</v>
      </c>
      <c r="C27" s="41"/>
      <c r="D27" s="41"/>
      <c r="E27" s="41"/>
      <c r="F27" s="41"/>
      <c r="G27" s="41"/>
      <c r="H27" s="82"/>
      <c r="I27" s="82"/>
      <c r="J27" s="82"/>
      <c r="K27" s="82"/>
      <c r="L27" s="41"/>
      <c r="M27" s="41"/>
      <c r="N27" s="4"/>
      <c r="O27" s="4"/>
      <c r="P27" s="4"/>
      <c r="Q27" s="4"/>
      <c r="R27" s="78"/>
      <c r="T27" s="4"/>
      <c r="U27" s="4"/>
      <c r="V27" s="4"/>
      <c r="W27" s="4"/>
      <c r="AJ27" s="40"/>
      <c r="AK27" s="40"/>
      <c r="AL27" s="40"/>
      <c r="AS27" s="103"/>
      <c r="AT27" s="103"/>
      <c r="AV27" s="40"/>
      <c r="AW27" s="40"/>
      <c r="BB27" s="77"/>
      <c r="BC27" s="77"/>
    </row>
    <row r="28" spans="2:55" x14ac:dyDescent="0.25">
      <c r="B28" s="25" t="s">
        <v>23</v>
      </c>
      <c r="C28" s="149">
        <f>ROUND('Single Trip Incl Cruise'!C28*SUM(1+'Single Trip Inc Cruise re Jan25'!$D$1),2)</f>
        <v>26.38</v>
      </c>
      <c r="D28" s="149">
        <f>ROUND('Single Trip Incl Cruise'!D28*SUM(1+'Single Trip Inc Cruise re Jan25'!$D$1),2)</f>
        <v>31.02</v>
      </c>
      <c r="E28" s="41"/>
      <c r="F28" s="41">
        <f t="shared" ref="F28:G33" si="54">C28*SUM(1+$G$1/$X$1)</f>
        <v>31.233919999999998</v>
      </c>
      <c r="G28" s="41">
        <f t="shared" si="54"/>
        <v>36.727679999999999</v>
      </c>
      <c r="H28" s="82"/>
      <c r="I28" s="41">
        <f t="shared" ref="I28:J33" si="55">F28-C28</f>
        <v>4.8539199999999987</v>
      </c>
      <c r="J28" s="41">
        <f t="shared" si="55"/>
        <v>5.7076799999999999</v>
      </c>
      <c r="K28" s="82"/>
      <c r="L28" s="41">
        <f t="shared" ref="L28:M33" si="56">ROUND(C28*(1+$G$1*2),2)*SUM(1+$M$1)</f>
        <v>34.353000000000002</v>
      </c>
      <c r="M28" s="41">
        <f t="shared" si="56"/>
        <v>40.402999999999999</v>
      </c>
      <c r="N28" s="82"/>
      <c r="O28" s="41">
        <f t="shared" ref="O28:P32" si="57">L28-C28</f>
        <v>7.9730000000000025</v>
      </c>
      <c r="P28" s="41">
        <f t="shared" si="57"/>
        <v>9.3829999999999991</v>
      </c>
      <c r="Q28" s="82"/>
      <c r="R28" s="76">
        <f t="shared" ref="R28:S33" si="58">AJ28/F28</f>
        <v>9.9891400118845161E-2</v>
      </c>
      <c r="S28" s="76">
        <f t="shared" si="58"/>
        <v>9.9924634499102577E-2</v>
      </c>
      <c r="T28" s="82"/>
      <c r="U28" s="41">
        <f t="shared" ref="U28:V33" si="59">SUM(C28/(1-$X$1))</f>
        <v>52.76</v>
      </c>
      <c r="V28" s="41">
        <f t="shared" si="59"/>
        <v>62.04</v>
      </c>
      <c r="W28" s="82"/>
      <c r="X28" s="41">
        <f t="shared" ref="X28:Y33" si="60">ROUND(C28/(1-$X$1)*1.2,2)</f>
        <v>63.31</v>
      </c>
      <c r="Y28" s="41">
        <f t="shared" si="60"/>
        <v>74.45</v>
      </c>
      <c r="AA28" s="182">
        <f>ROUNDDOWN(C28/(1-$X$1)*1.2,1)</f>
        <v>63.3</v>
      </c>
      <c r="AB28" s="182">
        <f>ROUNDDOWN(D28/(1-$X$1)*1.2,1)</f>
        <v>74.400000000000006</v>
      </c>
      <c r="AD28" s="40">
        <f t="shared" ref="AD28:AE33" si="61">AA28/1.2</f>
        <v>52.75</v>
      </c>
      <c r="AE28" s="40">
        <f t="shared" si="61"/>
        <v>62.000000000000007</v>
      </c>
      <c r="AG28" s="40">
        <f>X28-AA28</f>
        <v>1.0000000000005116E-2</v>
      </c>
      <c r="AH28" s="40">
        <f>Y28-AB28</f>
        <v>4.9999999999997158E-2</v>
      </c>
      <c r="AJ28" s="40">
        <f t="shared" ref="AJ28:AK33" si="62">ROUND(L28*(1-(1/(1+$AL$1))),2)</f>
        <v>3.12</v>
      </c>
      <c r="AK28" s="40">
        <f t="shared" si="62"/>
        <v>3.67</v>
      </c>
      <c r="AL28" s="40"/>
      <c r="AM28" s="180">
        <f>SUM(U28-F28)-AG28</f>
        <v>21.516079999999995</v>
      </c>
      <c r="AN28" s="180">
        <f>SUM(V28-G28)-AH28</f>
        <v>25.262320000000003</v>
      </c>
      <c r="AP28" s="76">
        <f t="shared" ref="AP28:AQ33" si="63">(SUM(F28-C28)/C28)*$X$1</f>
        <v>9.1999999999999985E-2</v>
      </c>
      <c r="AQ28" s="76">
        <f t="shared" si="63"/>
        <v>9.1999999999999998E-2</v>
      </c>
      <c r="AS28" s="76">
        <f t="shared" ref="AS28:AT33" si="64">AM28/U28</f>
        <v>0.40781046247156927</v>
      </c>
      <c r="AT28" s="76">
        <f t="shared" si="64"/>
        <v>0.40719406834300453</v>
      </c>
      <c r="AV28" s="76">
        <f t="shared" ref="AV28:AW33" si="65">C28/U28</f>
        <v>0.5</v>
      </c>
      <c r="AW28" s="76">
        <f t="shared" si="65"/>
        <v>0.5</v>
      </c>
      <c r="AX28" s="42"/>
      <c r="AY28" s="42">
        <f t="shared" ref="AY28:AZ33" si="66">I28+AM28</f>
        <v>26.369999999999994</v>
      </c>
      <c r="AZ28" s="42">
        <f t="shared" si="66"/>
        <v>30.970000000000002</v>
      </c>
      <c r="BA28" s="42"/>
      <c r="BB28" s="76">
        <f t="shared" ref="BB28:BC33" si="67">AY28/(C28/$X$1)</f>
        <v>0.49981046247156929</v>
      </c>
      <c r="BC28" s="76">
        <f t="shared" si="67"/>
        <v>0.49919406834300456</v>
      </c>
    </row>
    <row r="29" spans="2:55" x14ac:dyDescent="0.25">
      <c r="B29" s="25" t="s">
        <v>24</v>
      </c>
      <c r="C29" s="149">
        <f>ROUND('Single Trip Incl Cruise'!C29*SUM(1+'Single Trip Inc Cruise re Jan25'!$D$1),2)</f>
        <v>31.48</v>
      </c>
      <c r="D29" s="149">
        <f>ROUND('Single Trip Incl Cruise'!D29*SUM(1+'Single Trip Inc Cruise re Jan25'!$D$1),2)</f>
        <v>36.880000000000003</v>
      </c>
      <c r="E29" s="41"/>
      <c r="F29" s="41">
        <f t="shared" si="54"/>
        <v>37.272320000000001</v>
      </c>
      <c r="G29" s="41">
        <f t="shared" si="54"/>
        <v>43.66592</v>
      </c>
      <c r="H29" s="82"/>
      <c r="I29" s="41">
        <f t="shared" si="55"/>
        <v>5.7923200000000001</v>
      </c>
      <c r="J29" s="41">
        <f t="shared" si="55"/>
        <v>6.7859199999999973</v>
      </c>
      <c r="K29" s="82"/>
      <c r="L29" s="41">
        <f t="shared" si="56"/>
        <v>40.997000000000007</v>
      </c>
      <c r="M29" s="41">
        <f t="shared" si="56"/>
        <v>48.037000000000006</v>
      </c>
      <c r="N29" s="82"/>
      <c r="O29" s="41">
        <f t="shared" si="57"/>
        <v>9.5170000000000066</v>
      </c>
      <c r="P29" s="41">
        <f t="shared" si="57"/>
        <v>11.157000000000004</v>
      </c>
      <c r="Q29" s="82"/>
      <c r="R29" s="76">
        <f t="shared" si="58"/>
        <v>0.10007426422610666</v>
      </c>
      <c r="S29" s="76">
        <f t="shared" si="58"/>
        <v>0.10007804713607317</v>
      </c>
      <c r="T29" s="82"/>
      <c r="U29" s="41">
        <f t="shared" si="59"/>
        <v>62.96</v>
      </c>
      <c r="V29" s="41">
        <f t="shared" si="59"/>
        <v>73.760000000000005</v>
      </c>
      <c r="W29" s="82"/>
      <c r="X29" s="41">
        <f t="shared" si="60"/>
        <v>75.55</v>
      </c>
      <c r="Y29" s="41">
        <f t="shared" si="60"/>
        <v>88.51</v>
      </c>
      <c r="AA29" s="182">
        <f t="shared" ref="AA29:AB32" si="68">ROUNDDOWN(C29/(1-$X$1)*1.2,1)</f>
        <v>75.5</v>
      </c>
      <c r="AB29" s="182">
        <f t="shared" si="68"/>
        <v>88.5</v>
      </c>
      <c r="AD29" s="40">
        <f t="shared" si="61"/>
        <v>62.916666666666671</v>
      </c>
      <c r="AE29" s="40">
        <f t="shared" si="61"/>
        <v>73.75</v>
      </c>
      <c r="AG29" s="40">
        <f t="shared" ref="AG29:AH33" si="69">X29-AA29</f>
        <v>4.9999999999997158E-2</v>
      </c>
      <c r="AH29" s="40">
        <f t="shared" si="69"/>
        <v>1.0000000000005116E-2</v>
      </c>
      <c r="AJ29" s="40">
        <f t="shared" si="62"/>
        <v>3.73</v>
      </c>
      <c r="AK29" s="40">
        <f t="shared" si="62"/>
        <v>4.37</v>
      </c>
      <c r="AL29" s="40"/>
      <c r="AM29" s="180">
        <f t="shared" ref="AM29:AM33" si="70">SUM(U29-F29)-AG29</f>
        <v>25.637680000000003</v>
      </c>
      <c r="AN29" s="180">
        <f t="shared" ref="AN29:AN33" si="71">SUM(V29-G29)-AH29</f>
        <v>30.08408</v>
      </c>
      <c r="AP29" s="76">
        <f t="shared" si="63"/>
        <v>9.1999999999999998E-2</v>
      </c>
      <c r="AQ29" s="76">
        <f t="shared" si="63"/>
        <v>9.1999999999999957E-2</v>
      </c>
      <c r="AS29" s="76">
        <f t="shared" si="64"/>
        <v>0.40720584498094031</v>
      </c>
      <c r="AT29" s="76">
        <f t="shared" si="64"/>
        <v>0.40786442516268978</v>
      </c>
      <c r="AV29" s="76">
        <f t="shared" si="65"/>
        <v>0.5</v>
      </c>
      <c r="AW29" s="76">
        <f t="shared" si="65"/>
        <v>0.5</v>
      </c>
      <c r="AX29" s="42"/>
      <c r="AY29" s="42">
        <f t="shared" si="66"/>
        <v>31.430000000000003</v>
      </c>
      <c r="AZ29" s="42">
        <f t="shared" si="66"/>
        <v>36.869999999999997</v>
      </c>
      <c r="BA29" s="42"/>
      <c r="BB29" s="76">
        <f t="shared" si="67"/>
        <v>0.49920584498094034</v>
      </c>
      <c r="BC29" s="76">
        <f t="shared" si="67"/>
        <v>0.49986442516268975</v>
      </c>
    </row>
    <row r="30" spans="2:55" x14ac:dyDescent="0.25">
      <c r="B30" s="25" t="s">
        <v>25</v>
      </c>
      <c r="C30" s="149">
        <f>ROUND('Single Trip Incl Cruise'!C30*SUM(1+'Single Trip Inc Cruise re Jan25'!$D$1),2)</f>
        <v>38.340000000000003</v>
      </c>
      <c r="D30" s="149">
        <f>ROUND('Single Trip Incl Cruise'!D30*SUM(1+'Single Trip Inc Cruise re Jan25'!$D$1),2)</f>
        <v>42.39</v>
      </c>
      <c r="E30" s="41"/>
      <c r="F30" s="41">
        <f t="shared" si="54"/>
        <v>45.394559999999998</v>
      </c>
      <c r="G30" s="41">
        <f t="shared" si="54"/>
        <v>50.18976</v>
      </c>
      <c r="H30" s="82"/>
      <c r="I30" s="41">
        <f t="shared" si="55"/>
        <v>7.0545599999999951</v>
      </c>
      <c r="J30" s="41">
        <f t="shared" si="55"/>
        <v>7.7997599999999991</v>
      </c>
      <c r="K30" s="82"/>
      <c r="L30" s="41">
        <f t="shared" si="56"/>
        <v>49.929000000000002</v>
      </c>
      <c r="M30" s="41">
        <f t="shared" si="56"/>
        <v>55.209000000000003</v>
      </c>
      <c r="N30" s="82"/>
      <c r="O30" s="41">
        <f t="shared" si="57"/>
        <v>11.588999999999999</v>
      </c>
      <c r="P30" s="41">
        <f t="shared" si="57"/>
        <v>12.819000000000003</v>
      </c>
      <c r="Q30" s="82"/>
      <c r="R30" s="76">
        <f t="shared" si="58"/>
        <v>0.10001198381480073</v>
      </c>
      <c r="S30" s="76">
        <f t="shared" si="58"/>
        <v>0.10002040256817327</v>
      </c>
      <c r="T30" s="82"/>
      <c r="U30" s="41">
        <f t="shared" si="59"/>
        <v>76.680000000000007</v>
      </c>
      <c r="V30" s="41">
        <f t="shared" si="59"/>
        <v>84.78</v>
      </c>
      <c r="W30" s="82"/>
      <c r="X30" s="41">
        <f t="shared" si="60"/>
        <v>92.02</v>
      </c>
      <c r="Y30" s="41">
        <f t="shared" si="60"/>
        <v>101.74</v>
      </c>
      <c r="AA30" s="182">
        <f t="shared" si="68"/>
        <v>92</v>
      </c>
      <c r="AB30" s="182">
        <f t="shared" si="68"/>
        <v>101.7</v>
      </c>
      <c r="AD30" s="40">
        <f t="shared" si="61"/>
        <v>76.666666666666671</v>
      </c>
      <c r="AE30" s="40">
        <f t="shared" si="61"/>
        <v>84.75</v>
      </c>
      <c r="AG30" s="40">
        <f t="shared" si="69"/>
        <v>1.9999999999996021E-2</v>
      </c>
      <c r="AH30" s="40">
        <f t="shared" si="69"/>
        <v>3.9999999999992042E-2</v>
      </c>
      <c r="AJ30" s="40">
        <f t="shared" si="62"/>
        <v>4.54</v>
      </c>
      <c r="AK30" s="40">
        <f t="shared" si="62"/>
        <v>5.0199999999999996</v>
      </c>
      <c r="AL30" s="40"/>
      <c r="AM30" s="180">
        <f t="shared" si="70"/>
        <v>31.265440000000012</v>
      </c>
      <c r="AN30" s="180">
        <f t="shared" si="71"/>
        <v>34.550240000000009</v>
      </c>
      <c r="AP30" s="76">
        <f t="shared" si="63"/>
        <v>9.1999999999999929E-2</v>
      </c>
      <c r="AQ30" s="76">
        <f t="shared" si="63"/>
        <v>9.1999999999999985E-2</v>
      </c>
      <c r="AS30" s="76">
        <f t="shared" si="64"/>
        <v>0.40773917579551394</v>
      </c>
      <c r="AT30" s="76">
        <f t="shared" si="64"/>
        <v>0.40752819061099327</v>
      </c>
      <c r="AV30" s="76">
        <f t="shared" si="65"/>
        <v>0.5</v>
      </c>
      <c r="AW30" s="76">
        <f t="shared" si="65"/>
        <v>0.5</v>
      </c>
      <c r="AX30" s="42"/>
      <c r="AY30" s="42">
        <f t="shared" si="66"/>
        <v>38.320000000000007</v>
      </c>
      <c r="AZ30" s="42">
        <f t="shared" si="66"/>
        <v>42.350000000000009</v>
      </c>
      <c r="BA30" s="42"/>
      <c r="BB30" s="76">
        <f t="shared" si="67"/>
        <v>0.49973917579551386</v>
      </c>
      <c r="BC30" s="76">
        <f t="shared" si="67"/>
        <v>0.49952819061099324</v>
      </c>
    </row>
    <row r="31" spans="2:55" x14ac:dyDescent="0.25">
      <c r="B31" s="25" t="s">
        <v>33</v>
      </c>
      <c r="C31" s="149">
        <f>ROUND('Single Trip Incl Cruise'!C31*SUM(1+'Single Trip Inc Cruise re Jan25'!$D$1),2)</f>
        <v>47.52</v>
      </c>
      <c r="D31" s="149">
        <f>ROUND('Single Trip Incl Cruise'!D31*SUM(1+'Single Trip Inc Cruise re Jan25'!$D$1),2)</f>
        <v>54.33</v>
      </c>
      <c r="E31" s="41"/>
      <c r="F31" s="41">
        <f t="shared" si="54"/>
        <v>56.263680000000001</v>
      </c>
      <c r="G31" s="41">
        <f t="shared" si="54"/>
        <v>64.326719999999995</v>
      </c>
      <c r="H31" s="82"/>
      <c r="I31" s="41">
        <f t="shared" si="55"/>
        <v>8.7436799999999977</v>
      </c>
      <c r="J31" s="41">
        <f t="shared" si="55"/>
        <v>9.9967199999999963</v>
      </c>
      <c r="K31" s="82"/>
      <c r="L31" s="41">
        <f t="shared" si="56"/>
        <v>61.886000000000003</v>
      </c>
      <c r="M31" s="41">
        <f t="shared" si="56"/>
        <v>70.763000000000005</v>
      </c>
      <c r="N31" s="82"/>
      <c r="O31" s="41">
        <f t="shared" si="57"/>
        <v>14.366</v>
      </c>
      <c r="P31" s="41">
        <f t="shared" si="57"/>
        <v>16.433000000000007</v>
      </c>
      <c r="Q31" s="82"/>
      <c r="R31" s="76">
        <f t="shared" si="58"/>
        <v>0.10006455318955319</v>
      </c>
      <c r="S31" s="76">
        <f t="shared" si="58"/>
        <v>9.9958462051228478E-2</v>
      </c>
      <c r="T31" s="82"/>
      <c r="U31" s="41">
        <f t="shared" si="59"/>
        <v>95.04</v>
      </c>
      <c r="V31" s="41">
        <f t="shared" si="59"/>
        <v>108.66</v>
      </c>
      <c r="W31" s="82"/>
      <c r="X31" s="41">
        <f t="shared" si="60"/>
        <v>114.05</v>
      </c>
      <c r="Y31" s="41">
        <f t="shared" si="60"/>
        <v>130.38999999999999</v>
      </c>
      <c r="AA31" s="182">
        <f t="shared" si="68"/>
        <v>114</v>
      </c>
      <c r="AB31" s="182">
        <f t="shared" si="68"/>
        <v>130.30000000000001</v>
      </c>
      <c r="AD31" s="40">
        <f t="shared" si="61"/>
        <v>95</v>
      </c>
      <c r="AE31" s="40">
        <f t="shared" si="61"/>
        <v>108.58333333333334</v>
      </c>
      <c r="AG31" s="40">
        <f t="shared" si="69"/>
        <v>4.9999999999997158E-2</v>
      </c>
      <c r="AH31" s="40">
        <f t="shared" si="69"/>
        <v>8.9999999999974989E-2</v>
      </c>
      <c r="AJ31" s="40">
        <f t="shared" si="62"/>
        <v>5.63</v>
      </c>
      <c r="AK31" s="40">
        <f t="shared" si="62"/>
        <v>6.43</v>
      </c>
      <c r="AL31" s="40"/>
      <c r="AM31" s="180">
        <f t="shared" si="70"/>
        <v>38.726320000000008</v>
      </c>
      <c r="AN31" s="180">
        <f t="shared" si="71"/>
        <v>44.243280000000027</v>
      </c>
      <c r="AP31" s="76">
        <f t="shared" si="63"/>
        <v>9.1999999999999971E-2</v>
      </c>
      <c r="AQ31" s="76">
        <f t="shared" si="63"/>
        <v>9.1999999999999971E-2</v>
      </c>
      <c r="AS31" s="76">
        <f t="shared" si="64"/>
        <v>0.40747390572390579</v>
      </c>
      <c r="AT31" s="76">
        <f t="shared" si="64"/>
        <v>0.40717172832689147</v>
      </c>
      <c r="AV31" s="76">
        <f t="shared" si="65"/>
        <v>0.5</v>
      </c>
      <c r="AW31" s="76">
        <f t="shared" si="65"/>
        <v>0.5</v>
      </c>
      <c r="AX31" s="42"/>
      <c r="AY31" s="42">
        <f t="shared" si="66"/>
        <v>47.470000000000006</v>
      </c>
      <c r="AZ31" s="42">
        <f t="shared" si="66"/>
        <v>54.240000000000023</v>
      </c>
      <c r="BA31" s="42"/>
      <c r="BB31" s="76">
        <f t="shared" si="67"/>
        <v>0.49947390572390576</v>
      </c>
      <c r="BC31" s="76">
        <f t="shared" si="67"/>
        <v>0.49917172832689144</v>
      </c>
    </row>
    <row r="32" spans="2:55" x14ac:dyDescent="0.25">
      <c r="B32" s="25" t="s">
        <v>27</v>
      </c>
      <c r="C32" s="149">
        <f>ROUND('Single Trip Incl Cruise'!C32*SUM(1+'Single Trip Inc Cruise re Jan25'!$D$1),2)</f>
        <v>52.19</v>
      </c>
      <c r="D32" s="149">
        <f>ROUND('Single Trip Incl Cruise'!D32*SUM(1+'Single Trip Inc Cruise re Jan25'!$D$1),2)</f>
        <v>58.62</v>
      </c>
      <c r="E32" s="41"/>
      <c r="F32" s="41">
        <f t="shared" si="54"/>
        <v>61.792959999999994</v>
      </c>
      <c r="G32" s="41">
        <f t="shared" si="54"/>
        <v>69.406079999999989</v>
      </c>
      <c r="H32" s="82"/>
      <c r="I32" s="41">
        <f t="shared" si="55"/>
        <v>9.6029599999999959</v>
      </c>
      <c r="J32" s="41">
        <f t="shared" si="55"/>
        <v>10.786079999999991</v>
      </c>
      <c r="K32" s="82"/>
      <c r="L32" s="41">
        <f t="shared" si="56"/>
        <v>67.969000000000008</v>
      </c>
      <c r="M32" s="41">
        <f t="shared" si="56"/>
        <v>76.350999999999999</v>
      </c>
      <c r="N32" s="82"/>
      <c r="O32" s="41">
        <f t="shared" si="57"/>
        <v>15.779000000000011</v>
      </c>
      <c r="P32" s="41">
        <f t="shared" si="57"/>
        <v>17.731000000000002</v>
      </c>
      <c r="Q32" s="82"/>
      <c r="R32" s="76">
        <f t="shared" si="58"/>
        <v>0.10001139288359062</v>
      </c>
      <c r="S32" s="76">
        <f t="shared" si="58"/>
        <v>9.9991239960533745E-2</v>
      </c>
      <c r="T32" s="82"/>
      <c r="U32" s="41">
        <f t="shared" si="59"/>
        <v>104.38</v>
      </c>
      <c r="V32" s="41">
        <f t="shared" si="59"/>
        <v>117.24</v>
      </c>
      <c r="W32" s="82"/>
      <c r="X32" s="41">
        <f t="shared" si="60"/>
        <v>125.26</v>
      </c>
      <c r="Y32" s="41">
        <f t="shared" si="60"/>
        <v>140.69</v>
      </c>
      <c r="AA32" s="182">
        <f t="shared" si="68"/>
        <v>125.2</v>
      </c>
      <c r="AB32" s="182">
        <f t="shared" si="68"/>
        <v>140.6</v>
      </c>
      <c r="AD32" s="40">
        <f t="shared" si="61"/>
        <v>104.33333333333334</v>
      </c>
      <c r="AE32" s="40">
        <f t="shared" si="61"/>
        <v>117.16666666666667</v>
      </c>
      <c r="AG32" s="40">
        <f t="shared" si="69"/>
        <v>6.0000000000002274E-2</v>
      </c>
      <c r="AH32" s="40">
        <f t="shared" si="69"/>
        <v>9.0000000000003411E-2</v>
      </c>
      <c r="AJ32" s="40">
        <f t="shared" si="62"/>
        <v>6.18</v>
      </c>
      <c r="AK32" s="40">
        <f t="shared" si="62"/>
        <v>6.94</v>
      </c>
      <c r="AL32" s="40"/>
      <c r="AM32" s="180">
        <f t="shared" si="70"/>
        <v>42.52704</v>
      </c>
      <c r="AN32" s="180">
        <f t="shared" si="71"/>
        <v>47.743920000000003</v>
      </c>
      <c r="AP32" s="76">
        <f t="shared" si="63"/>
        <v>9.1999999999999971E-2</v>
      </c>
      <c r="AQ32" s="76">
        <f t="shared" si="63"/>
        <v>9.1999999999999929E-2</v>
      </c>
      <c r="AS32" s="76">
        <f t="shared" si="64"/>
        <v>0.4074251772370186</v>
      </c>
      <c r="AT32" s="76">
        <f t="shared" si="64"/>
        <v>0.40723234390992841</v>
      </c>
      <c r="AV32" s="76">
        <f t="shared" si="65"/>
        <v>0.5</v>
      </c>
      <c r="AW32" s="76">
        <f t="shared" si="65"/>
        <v>0.5</v>
      </c>
      <c r="AX32" s="42"/>
      <c r="AY32" s="42">
        <f t="shared" si="66"/>
        <v>52.129999999999995</v>
      </c>
      <c r="AZ32" s="42">
        <f t="shared" si="66"/>
        <v>58.529999999999994</v>
      </c>
      <c r="BA32" s="42"/>
      <c r="BB32" s="76">
        <f t="shared" si="67"/>
        <v>0.49942517723701857</v>
      </c>
      <c r="BC32" s="76">
        <f t="shared" si="67"/>
        <v>0.49923234390992832</v>
      </c>
    </row>
    <row r="33" spans="1:55" x14ac:dyDescent="0.25">
      <c r="B33" s="25" t="s">
        <v>29</v>
      </c>
      <c r="C33" s="149">
        <f>ROUND('Single Trip Incl Cruise'!C33*SUM(1+'Single Trip Inc Cruise re Jan25'!$D$1),2)</f>
        <v>8.1999999999999993</v>
      </c>
      <c r="D33" s="149">
        <f>ROUND('Single Trip Incl Cruise'!D33*SUM(1+'Single Trip Inc Cruise re Jan25'!$D$1),2)</f>
        <v>8.8800000000000008</v>
      </c>
      <c r="E33" s="41"/>
      <c r="F33" s="41">
        <f t="shared" si="54"/>
        <v>9.7087999999999983</v>
      </c>
      <c r="G33" s="41">
        <f t="shared" si="54"/>
        <v>10.513920000000001</v>
      </c>
      <c r="H33" s="82"/>
      <c r="I33" s="41">
        <f t="shared" si="55"/>
        <v>1.508799999999999</v>
      </c>
      <c r="J33" s="41">
        <f t="shared" si="55"/>
        <v>1.6339199999999998</v>
      </c>
      <c r="K33" s="82"/>
      <c r="L33" s="41">
        <f t="shared" si="56"/>
        <v>10.681000000000001</v>
      </c>
      <c r="M33" s="41">
        <f t="shared" si="56"/>
        <v>11.561</v>
      </c>
      <c r="N33" s="82"/>
      <c r="O33" s="41">
        <f>L33-C33</f>
        <v>2.4810000000000016</v>
      </c>
      <c r="P33" s="41">
        <f>M33-D33</f>
        <v>2.6809999999999992</v>
      </c>
      <c r="Q33" s="82"/>
      <c r="R33" s="76">
        <f t="shared" si="58"/>
        <v>9.9909360580092296E-2</v>
      </c>
      <c r="S33" s="76">
        <f t="shared" si="58"/>
        <v>9.9867604090577058E-2</v>
      </c>
      <c r="T33" s="82"/>
      <c r="U33" s="41">
        <f t="shared" si="59"/>
        <v>16.399999999999999</v>
      </c>
      <c r="V33" s="41">
        <f t="shared" si="59"/>
        <v>17.760000000000002</v>
      </c>
      <c r="W33" s="82"/>
      <c r="X33" s="41">
        <f t="shared" si="60"/>
        <v>19.68</v>
      </c>
      <c r="Y33" s="41">
        <f t="shared" si="60"/>
        <v>21.31</v>
      </c>
      <c r="AA33" s="182">
        <f>ROUNDDOWN(C33/(1-$X$1)*1.2,1)</f>
        <v>19.600000000000001</v>
      </c>
      <c r="AB33" s="182">
        <f>ROUNDDOWN(D33/(1-$X$1)*1.2,1)</f>
        <v>21.3</v>
      </c>
      <c r="AD33" s="40">
        <f t="shared" si="61"/>
        <v>16.333333333333336</v>
      </c>
      <c r="AE33" s="40">
        <f t="shared" si="61"/>
        <v>17.75</v>
      </c>
      <c r="AG33" s="40">
        <f t="shared" si="69"/>
        <v>7.9999999999998295E-2</v>
      </c>
      <c r="AH33" s="40">
        <f t="shared" si="69"/>
        <v>9.9999999999980105E-3</v>
      </c>
      <c r="AJ33" s="40">
        <f t="shared" si="62"/>
        <v>0.97</v>
      </c>
      <c r="AK33" s="40">
        <f t="shared" si="62"/>
        <v>1.05</v>
      </c>
      <c r="AL33" s="40"/>
      <c r="AM33" s="180">
        <f t="shared" si="70"/>
        <v>6.611200000000002</v>
      </c>
      <c r="AN33" s="180">
        <f t="shared" si="71"/>
        <v>7.236080000000003</v>
      </c>
      <c r="AP33" s="76">
        <f t="shared" si="63"/>
        <v>9.1999999999999943E-2</v>
      </c>
      <c r="AQ33" s="76">
        <f t="shared" si="63"/>
        <v>9.1999999999999985E-2</v>
      </c>
      <c r="AS33" s="76">
        <f t="shared" si="64"/>
        <v>0.40312195121951233</v>
      </c>
      <c r="AT33" s="76">
        <f t="shared" si="64"/>
        <v>0.40743693693693706</v>
      </c>
      <c r="AV33" s="76">
        <f t="shared" si="65"/>
        <v>0.5</v>
      </c>
      <c r="AW33" s="76">
        <f t="shared" si="65"/>
        <v>0.5</v>
      </c>
      <c r="AX33" s="42"/>
      <c r="AY33" s="42">
        <f t="shared" si="66"/>
        <v>8.120000000000001</v>
      </c>
      <c r="AZ33" s="42">
        <f t="shared" si="66"/>
        <v>8.8700000000000028</v>
      </c>
      <c r="BA33" s="42"/>
      <c r="BB33" s="76">
        <f t="shared" si="67"/>
        <v>0.4951219512195123</v>
      </c>
      <c r="BC33" s="76">
        <f t="shared" si="67"/>
        <v>0.49943693693693703</v>
      </c>
    </row>
    <row r="34" spans="1:55" x14ac:dyDescent="0.25">
      <c r="C34" s="39"/>
      <c r="D34" s="39"/>
      <c r="E34" s="39"/>
      <c r="F34" s="39"/>
      <c r="L34" s="41"/>
      <c r="M34" s="39"/>
      <c r="U34" s="41"/>
      <c r="V34" s="41"/>
      <c r="W34" s="39"/>
      <c r="AK34" s="76"/>
      <c r="AL34" s="76"/>
      <c r="AM34" s="76"/>
    </row>
    <row r="35" spans="1:55" x14ac:dyDescent="0.25">
      <c r="A35" s="4" t="s">
        <v>34</v>
      </c>
      <c r="C35" s="40"/>
      <c r="D35" s="40"/>
      <c r="E35" s="40"/>
      <c r="F35" s="40"/>
      <c r="L35" s="40"/>
      <c r="M35" s="40"/>
      <c r="AK35" s="76"/>
      <c r="AL35" s="76"/>
      <c r="AM35" s="76"/>
    </row>
    <row r="36" spans="1:55" x14ac:dyDescent="0.25">
      <c r="C36" s="40"/>
      <c r="D36" s="40"/>
      <c r="E36" s="40"/>
      <c r="F36" s="40"/>
      <c r="M36" s="40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K36" s="76"/>
      <c r="AL36" s="76"/>
      <c r="AM36" s="76"/>
    </row>
    <row r="37" spans="1:55" x14ac:dyDescent="0.25">
      <c r="A37" s="25" t="s">
        <v>35</v>
      </c>
      <c r="B37" s="1" t="s">
        <v>36</v>
      </c>
      <c r="D37" s="40"/>
      <c r="E37" s="40"/>
      <c r="F37" s="40"/>
      <c r="G37" s="40"/>
      <c r="H37" s="40"/>
      <c r="I37" s="40"/>
      <c r="J37" s="40"/>
      <c r="K37" s="40"/>
      <c r="N37" s="40"/>
      <c r="O37" s="40"/>
      <c r="P37" s="40"/>
      <c r="Q37" s="40"/>
      <c r="R37" s="40"/>
      <c r="S37" s="40"/>
      <c r="T37" s="40"/>
      <c r="AK37" s="76"/>
      <c r="AL37" s="76"/>
      <c r="AM37" s="76"/>
    </row>
    <row r="38" spans="1:55" x14ac:dyDescent="0.25">
      <c r="A38" s="25" t="s">
        <v>37</v>
      </c>
      <c r="B38" s="1" t="s">
        <v>38</v>
      </c>
      <c r="D38" s="40"/>
      <c r="E38" s="40"/>
      <c r="F38" s="40"/>
      <c r="N38" s="40"/>
      <c r="O38" s="40"/>
      <c r="P38" s="40"/>
      <c r="Q38" s="40"/>
      <c r="R38" s="40"/>
      <c r="S38" s="40"/>
      <c r="T38" s="40"/>
      <c r="AK38" s="76"/>
      <c r="AL38" s="76"/>
      <c r="AM38" s="76"/>
    </row>
    <row r="39" spans="1:55" x14ac:dyDescent="0.25">
      <c r="A39" s="25" t="s">
        <v>39</v>
      </c>
      <c r="B39" s="1" t="s">
        <v>40</v>
      </c>
      <c r="D39" s="40"/>
      <c r="E39" s="40"/>
      <c r="F39" s="40"/>
      <c r="AK39" s="76"/>
      <c r="AL39" s="76"/>
      <c r="AM39" s="76"/>
    </row>
    <row r="40" spans="1:55" x14ac:dyDescent="0.25">
      <c r="A40" s="25" t="s">
        <v>41</v>
      </c>
      <c r="B40" s="1" t="s">
        <v>42</v>
      </c>
      <c r="D40" s="40"/>
      <c r="E40" s="40"/>
      <c r="F40" s="40"/>
      <c r="AK40" s="76"/>
      <c r="AL40" s="76"/>
      <c r="AM40" s="76"/>
    </row>
    <row r="41" spans="1:55" x14ac:dyDescent="0.25">
      <c r="A41" s="25" t="s">
        <v>43</v>
      </c>
      <c r="B41" s="1" t="s">
        <v>44</v>
      </c>
      <c r="D41" s="40"/>
      <c r="E41" s="40"/>
      <c r="F41" s="40"/>
      <c r="AK41" s="76"/>
      <c r="AL41" s="76"/>
      <c r="AM41" s="76"/>
    </row>
    <row r="42" spans="1:55" x14ac:dyDescent="0.25">
      <c r="A42" s="25" t="s">
        <v>45</v>
      </c>
      <c r="B42" s="1" t="s">
        <v>46</v>
      </c>
      <c r="D42" s="40"/>
      <c r="E42" s="40"/>
      <c r="F42" s="40"/>
      <c r="AK42" s="76"/>
      <c r="AL42" s="76"/>
      <c r="AM42" s="76"/>
    </row>
    <row r="43" spans="1:55" x14ac:dyDescent="0.25">
      <c r="A43" s="25"/>
      <c r="AK43" s="76"/>
      <c r="AL43" s="76"/>
      <c r="AM43" s="76"/>
    </row>
    <row r="44" spans="1:55" x14ac:dyDescent="0.25">
      <c r="A44" s="118" t="s">
        <v>47</v>
      </c>
      <c r="B44" s="1" t="s">
        <v>48</v>
      </c>
      <c r="G44" s="40"/>
      <c r="H44" s="40"/>
      <c r="I44" s="40"/>
      <c r="J44" s="40"/>
      <c r="K44" s="40"/>
      <c r="N44" s="40"/>
      <c r="O44" s="40"/>
      <c r="P44" s="40"/>
      <c r="Q44" s="40"/>
      <c r="R44" s="40"/>
      <c r="S44" s="40"/>
      <c r="T44" s="40"/>
      <c r="AK44" s="76"/>
      <c r="AL44" s="76"/>
      <c r="AM44" s="76"/>
    </row>
    <row r="45" spans="1:55" x14ac:dyDescent="0.25">
      <c r="A45" s="118" t="s">
        <v>49</v>
      </c>
      <c r="B45" s="52" t="s">
        <v>50</v>
      </c>
      <c r="AK45" s="76"/>
      <c r="AL45" s="76"/>
      <c r="AM45" s="76"/>
    </row>
    <row r="46" spans="1:55" x14ac:dyDescent="0.25">
      <c r="A46" s="25"/>
      <c r="AK46" s="76"/>
      <c r="AL46" s="76"/>
      <c r="AM46" s="76"/>
    </row>
    <row r="47" spans="1:55" x14ac:dyDescent="0.25">
      <c r="A47" s="164" t="s">
        <v>51</v>
      </c>
      <c r="B47" s="165" t="s">
        <v>52</v>
      </c>
      <c r="C47" s="166"/>
      <c r="D47" s="166"/>
      <c r="E47" s="166"/>
      <c r="F47" s="166"/>
      <c r="G47" s="166"/>
      <c r="H47" s="166"/>
      <c r="AK47" s="76"/>
      <c r="AL47" s="76"/>
      <c r="AM47" s="76"/>
    </row>
    <row r="48" spans="1:55" ht="47.25" customHeight="1" x14ac:dyDescent="0.25">
      <c r="A48" s="198" t="s">
        <v>53</v>
      </c>
      <c r="B48" s="216" t="s">
        <v>54</v>
      </c>
      <c r="C48" s="216"/>
      <c r="D48" s="216"/>
      <c r="E48" s="216"/>
      <c r="F48" s="216"/>
      <c r="G48" s="216"/>
      <c r="H48" s="216"/>
      <c r="I48" s="216"/>
      <c r="J48" s="216"/>
      <c r="K48" s="216"/>
      <c r="L48" s="216"/>
      <c r="M48" s="216"/>
      <c r="AK48" s="76"/>
      <c r="AL48" s="76"/>
      <c r="AM48" s="76"/>
    </row>
    <row r="49" spans="1:66" x14ac:dyDescent="0.25">
      <c r="A49" s="25"/>
    </row>
    <row r="50" spans="1:66" x14ac:dyDescent="0.25">
      <c r="A50" s="25" t="s">
        <v>55</v>
      </c>
      <c r="B50" s="1" t="s">
        <v>56</v>
      </c>
    </row>
    <row r="51" spans="1:66" x14ac:dyDescent="0.25">
      <c r="A51" s="25"/>
      <c r="B51" s="1" t="s">
        <v>57</v>
      </c>
    </row>
    <row r="52" spans="1:66" x14ac:dyDescent="0.25">
      <c r="A52" s="25"/>
      <c r="B52" s="1" t="s">
        <v>58</v>
      </c>
    </row>
    <row r="53" spans="1:66" x14ac:dyDescent="0.25">
      <c r="A53" s="25"/>
    </row>
    <row r="54" spans="1:66" s="80" customFormat="1" x14ac:dyDescent="0.25">
      <c r="A54" s="79" t="s">
        <v>59</v>
      </c>
      <c r="B54" s="80" t="s">
        <v>60</v>
      </c>
    </row>
    <row r="55" spans="1:66" x14ac:dyDescent="0.25">
      <c r="A55" s="25"/>
    </row>
    <row r="56" spans="1:66" x14ac:dyDescent="0.25">
      <c r="A56" s="25" t="s">
        <v>61</v>
      </c>
      <c r="B56" s="1" t="s">
        <v>62</v>
      </c>
    </row>
    <row r="57" spans="1:66" x14ac:dyDescent="0.25">
      <c r="A57" s="25"/>
    </row>
    <row r="58" spans="1:66" ht="45" customHeight="1" x14ac:dyDescent="0.25">
      <c r="B58" s="39"/>
      <c r="C58" s="217" t="s">
        <v>2</v>
      </c>
      <c r="D58" s="217"/>
      <c r="E58" s="90"/>
      <c r="F58" s="218" t="s">
        <v>3</v>
      </c>
      <c r="G58" s="218"/>
      <c r="H58" s="52"/>
      <c r="I58" s="212" t="s">
        <v>4</v>
      </c>
      <c r="J58" s="212"/>
      <c r="K58" s="52"/>
      <c r="L58" s="219" t="s">
        <v>5</v>
      </c>
      <c r="M58" s="219"/>
      <c r="N58" s="52"/>
      <c r="O58" s="219" t="s">
        <v>6</v>
      </c>
      <c r="P58" s="219"/>
      <c r="Q58" s="52"/>
      <c r="R58" s="219" t="s">
        <v>7</v>
      </c>
      <c r="S58" s="219"/>
      <c r="T58" s="52"/>
      <c r="U58" s="214" t="s">
        <v>8</v>
      </c>
      <c r="V58" s="214"/>
      <c r="W58" s="52"/>
      <c r="X58" s="211" t="s">
        <v>9</v>
      </c>
      <c r="Y58" s="211"/>
      <c r="AA58" s="215" t="s">
        <v>10</v>
      </c>
      <c r="AB58" s="215"/>
      <c r="AD58" s="211" t="s">
        <v>11</v>
      </c>
      <c r="AE58" s="211"/>
      <c r="AG58" s="211" t="s">
        <v>12</v>
      </c>
      <c r="AH58" s="211"/>
      <c r="AJ58" s="211" t="s">
        <v>13</v>
      </c>
      <c r="AK58" s="211"/>
      <c r="AM58" s="211" t="s">
        <v>14</v>
      </c>
      <c r="AN58" s="211"/>
      <c r="AP58" s="212" t="s">
        <v>15</v>
      </c>
      <c r="AQ58" s="212"/>
      <c r="AS58" s="211" t="s">
        <v>16</v>
      </c>
      <c r="AT58" s="211"/>
      <c r="AV58" s="213" t="s">
        <v>17</v>
      </c>
      <c r="AW58" s="213"/>
      <c r="AY58" s="213" t="s">
        <v>18</v>
      </c>
      <c r="AZ58" s="213"/>
      <c r="BB58" s="213" t="s">
        <v>19</v>
      </c>
      <c r="BC58" s="213"/>
    </row>
    <row r="59" spans="1:66" s="34" customFormat="1" x14ac:dyDescent="0.25">
      <c r="C59" s="54" t="s">
        <v>20</v>
      </c>
      <c r="D59" s="54" t="s">
        <v>21</v>
      </c>
      <c r="E59" s="54"/>
      <c r="F59" s="34" t="s">
        <v>20</v>
      </c>
      <c r="G59" s="54" t="s">
        <v>21</v>
      </c>
      <c r="I59" s="34" t="s">
        <v>20</v>
      </c>
      <c r="J59" s="54" t="s">
        <v>21</v>
      </c>
      <c r="L59" s="34" t="s">
        <v>20</v>
      </c>
      <c r="M59" s="54" t="s">
        <v>21</v>
      </c>
      <c r="O59" s="34" t="s">
        <v>20</v>
      </c>
      <c r="P59" s="54" t="s">
        <v>21</v>
      </c>
      <c r="R59" s="34" t="s">
        <v>20</v>
      </c>
      <c r="S59" s="54" t="s">
        <v>21</v>
      </c>
      <c r="U59" s="34" t="s">
        <v>20</v>
      </c>
      <c r="V59" s="34" t="s">
        <v>21</v>
      </c>
      <c r="X59" s="34" t="s">
        <v>20</v>
      </c>
      <c r="Y59" s="34" t="s">
        <v>21</v>
      </c>
      <c r="AA59" s="34" t="s">
        <v>20</v>
      </c>
      <c r="AB59" s="34" t="s">
        <v>21</v>
      </c>
      <c r="AD59" s="34" t="s">
        <v>20</v>
      </c>
      <c r="AE59" s="34" t="s">
        <v>21</v>
      </c>
      <c r="AG59" s="34" t="s">
        <v>20</v>
      </c>
      <c r="AH59" s="34" t="s">
        <v>21</v>
      </c>
      <c r="AJ59" s="34" t="s">
        <v>20</v>
      </c>
      <c r="AK59" s="34" t="s">
        <v>21</v>
      </c>
      <c r="AM59" s="34" t="s">
        <v>20</v>
      </c>
      <c r="AN59" s="34" t="s">
        <v>21</v>
      </c>
      <c r="AP59" s="34" t="s">
        <v>20</v>
      </c>
      <c r="AQ59" s="34" t="s">
        <v>21</v>
      </c>
      <c r="AS59" s="34" t="s">
        <v>20</v>
      </c>
      <c r="AT59" s="34" t="s">
        <v>21</v>
      </c>
      <c r="AV59" s="34" t="s">
        <v>20</v>
      </c>
      <c r="AW59" s="54" t="s">
        <v>21</v>
      </c>
      <c r="AY59" s="34" t="s">
        <v>20</v>
      </c>
      <c r="AZ59" s="54" t="s">
        <v>21</v>
      </c>
      <c r="BB59" s="34" t="s">
        <v>20</v>
      </c>
      <c r="BC59" s="54" t="s">
        <v>21</v>
      </c>
    </row>
    <row r="60" spans="1:66" x14ac:dyDescent="0.25">
      <c r="A60" s="25"/>
      <c r="C60" s="39"/>
      <c r="D60" s="39"/>
      <c r="E60" s="39"/>
      <c r="F60" s="39"/>
      <c r="G60" s="39"/>
      <c r="H60" s="39"/>
      <c r="I60" s="39"/>
      <c r="J60" s="39"/>
      <c r="K60" s="39"/>
      <c r="L60" s="39"/>
    </row>
    <row r="61" spans="1:66" s="52" customFormat="1" ht="60" customHeight="1" x14ac:dyDescent="0.25">
      <c r="A61" s="158" t="s">
        <v>63</v>
      </c>
      <c r="B61" s="157"/>
      <c r="C61" s="168">
        <f>'Single Trip Incl Cruise'!C63*SUM(1+'Single Trip Inc Cruise re Jan25'!$D$1)</f>
        <v>16.4512</v>
      </c>
      <c r="D61" s="168">
        <f>'Single Trip Incl Cruise'!D63*SUM(1+'Single Trip Inc Cruise re Jan25'!$D$1)</f>
        <v>16.4512</v>
      </c>
      <c r="E61" s="74"/>
      <c r="F61" s="74">
        <f t="shared" ref="F61:G61" si="72">C61*SUM(1+$G$1/$X$1)</f>
        <v>19.478220799999999</v>
      </c>
      <c r="G61" s="74">
        <f t="shared" si="72"/>
        <v>19.478220799999999</v>
      </c>
      <c r="H61" s="74"/>
      <c r="I61" s="74">
        <f t="shared" ref="I61:J61" si="73">F61-C61</f>
        <v>3.027020799999999</v>
      </c>
      <c r="J61" s="74">
        <f t="shared" si="73"/>
        <v>3.027020799999999</v>
      </c>
      <c r="K61" s="51"/>
      <c r="L61" s="160">
        <f t="shared" ref="L61:M61" si="74">ROUND(C61*(1+$G$1*2),2)*SUM(1+$M$1)</f>
        <v>21.428000000000001</v>
      </c>
      <c r="M61" s="160">
        <f t="shared" si="74"/>
        <v>21.428000000000001</v>
      </c>
      <c r="O61" s="74">
        <f t="shared" ref="O61:P61" si="75">L61-C61</f>
        <v>4.9768000000000008</v>
      </c>
      <c r="P61" s="74">
        <f t="shared" si="75"/>
        <v>4.9768000000000008</v>
      </c>
      <c r="R61" s="93">
        <f t="shared" ref="R61:S61" si="76">AJ61/F61</f>
        <v>0.10011181308715836</v>
      </c>
      <c r="S61" s="93">
        <f t="shared" si="76"/>
        <v>0.10011181308715836</v>
      </c>
      <c r="U61" s="74">
        <f t="shared" ref="U61:V61" si="77">SUM(C61/(1-$X$1))</f>
        <v>32.9024</v>
      </c>
      <c r="V61" s="74">
        <f t="shared" si="77"/>
        <v>32.9024</v>
      </c>
      <c r="X61" s="74">
        <f t="shared" ref="X61:Y61" si="78">ROUND(C61/(1-$X$1)*1.2,2)</f>
        <v>39.479999999999997</v>
      </c>
      <c r="Y61" s="74">
        <f t="shared" si="78"/>
        <v>39.479999999999997</v>
      </c>
      <c r="Z61" s="94"/>
      <c r="AA61" s="183">
        <f t="shared" ref="AA61:AB61" si="79">ROUNDDOWN(C61/(1-$X$1)*1.2,1)</f>
        <v>39.4</v>
      </c>
      <c r="AB61" s="183">
        <f t="shared" si="79"/>
        <v>39.4</v>
      </c>
      <c r="AD61" s="94">
        <f t="shared" ref="AD61" si="80">AA61/1.2</f>
        <v>32.833333333333336</v>
      </c>
      <c r="AE61" s="94">
        <f t="shared" ref="AE61" si="81">AB61/1.2</f>
        <v>32.833333333333336</v>
      </c>
      <c r="AG61" s="94">
        <f t="shared" ref="AG61:AH61" si="82">X61-AA61</f>
        <v>7.9999999999998295E-2</v>
      </c>
      <c r="AH61" s="94">
        <f t="shared" si="82"/>
        <v>7.9999999999998295E-2</v>
      </c>
      <c r="AI61" s="94"/>
      <c r="AJ61" s="94">
        <f t="shared" ref="AJ61:AK61" si="83">ROUND(L61*(1-(1/(1+$AL$1))),2)</f>
        <v>1.95</v>
      </c>
      <c r="AK61" s="94">
        <f t="shared" si="83"/>
        <v>1.95</v>
      </c>
      <c r="AL61" s="94"/>
      <c r="AM61" s="181">
        <f t="shared" ref="AM61" si="84">SUM(U61-F61)-AG61</f>
        <v>13.344179200000003</v>
      </c>
      <c r="AN61" s="181">
        <f t="shared" ref="AN61" si="85">SUM(V61-G61)-AH61</f>
        <v>13.344179200000003</v>
      </c>
      <c r="AP61" s="135">
        <f t="shared" ref="AP61:AQ61" si="86">(SUM(F61-C61)/C61)/2</f>
        <v>9.1999999999999971E-2</v>
      </c>
      <c r="AQ61" s="135">
        <f t="shared" si="86"/>
        <v>9.1999999999999971E-2</v>
      </c>
      <c r="AS61" s="135">
        <f t="shared" ref="AS61:AT61" si="87">AM61/U61</f>
        <v>0.40556856642676531</v>
      </c>
      <c r="AT61" s="135">
        <f t="shared" si="87"/>
        <v>0.40556856642676531</v>
      </c>
      <c r="AV61" s="93">
        <f t="shared" ref="AV61:AW61" si="88">C61/U61</f>
        <v>0.5</v>
      </c>
      <c r="AW61" s="93">
        <f t="shared" si="88"/>
        <v>0.5</v>
      </c>
      <c r="AY61" s="136">
        <f t="shared" ref="AY61:AZ61" si="89">I61+AM61</f>
        <v>16.371200000000002</v>
      </c>
      <c r="AZ61" s="136">
        <f t="shared" si="89"/>
        <v>16.371200000000002</v>
      </c>
      <c r="BB61" s="93">
        <f t="shared" ref="BB61:BC61" si="90">AY61/(C61/$X$1)</f>
        <v>0.49756856642676528</v>
      </c>
      <c r="BC61" s="93">
        <f t="shared" si="90"/>
        <v>0.49756856642676528</v>
      </c>
      <c r="BK61" s="125" t="e">
        <f>SUM(U61-L61)-#REF!</f>
        <v>#REF!</v>
      </c>
      <c r="BN61" s="124" t="e">
        <f>BK61/U61</f>
        <v>#REF!</v>
      </c>
    </row>
    <row r="62" spans="1:66" x14ac:dyDescent="0.25">
      <c r="C62" s="39"/>
      <c r="D62" s="39"/>
      <c r="E62" s="39"/>
      <c r="F62" s="39"/>
      <c r="G62" s="39"/>
      <c r="H62" s="39"/>
      <c r="I62" s="39"/>
      <c r="J62" s="39"/>
      <c r="K62" s="39"/>
      <c r="L62" s="39"/>
      <c r="BN62" s="76"/>
    </row>
    <row r="63" spans="1:66" x14ac:dyDescent="0.25">
      <c r="A63" s="48" t="s">
        <v>64</v>
      </c>
      <c r="B63" s="44" t="s">
        <v>65</v>
      </c>
      <c r="C63" s="45" t="s">
        <v>66</v>
      </c>
    </row>
    <row r="64" spans="1:66" ht="29.25" customHeight="1" x14ac:dyDescent="0.25">
      <c r="A64" s="49"/>
      <c r="B64" s="209" t="s">
        <v>67</v>
      </c>
      <c r="C64" s="210" t="s">
        <v>68</v>
      </c>
      <c r="D64" s="210"/>
      <c r="E64" s="210"/>
      <c r="F64" s="210"/>
      <c r="G64" s="210"/>
      <c r="H64" s="210"/>
      <c r="I64" s="210"/>
      <c r="J64" s="210"/>
      <c r="K64" s="210"/>
      <c r="L64" s="210"/>
      <c r="M64" s="210"/>
    </row>
    <row r="65" spans="1:13" ht="29.25" customHeight="1" x14ac:dyDescent="0.25">
      <c r="A65" s="49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0"/>
    </row>
    <row r="66" spans="1:13" x14ac:dyDescent="0.25">
      <c r="A66" s="25"/>
      <c r="B66" s="44" t="s">
        <v>69</v>
      </c>
      <c r="C66" s="45" t="s">
        <v>70</v>
      </c>
    </row>
    <row r="67" spans="1:13" x14ac:dyDescent="0.25">
      <c r="A67" s="25"/>
      <c r="B67" s="44" t="s">
        <v>71</v>
      </c>
      <c r="C67" s="45" t="s">
        <v>72</v>
      </c>
    </row>
    <row r="68" spans="1:13" x14ac:dyDescent="0.25">
      <c r="A68" s="25"/>
      <c r="B68" s="44"/>
      <c r="C68" s="45"/>
    </row>
    <row r="69" spans="1:13" x14ac:dyDescent="0.25">
      <c r="A69" s="25" t="s">
        <v>73</v>
      </c>
      <c r="B69" s="1" t="s">
        <v>74</v>
      </c>
      <c r="C69" s="46" t="s">
        <v>75</v>
      </c>
      <c r="L69" s="47"/>
    </row>
    <row r="70" spans="1:13" x14ac:dyDescent="0.25">
      <c r="A70" s="25"/>
      <c r="B70" s="1" t="s">
        <v>76</v>
      </c>
      <c r="C70" s="47" t="s">
        <v>77</v>
      </c>
      <c r="L70" s="47"/>
    </row>
    <row r="71" spans="1:13" x14ac:dyDescent="0.25">
      <c r="A71" s="25"/>
      <c r="B71" s="1" t="s">
        <v>78</v>
      </c>
      <c r="C71" s="47" t="s">
        <v>79</v>
      </c>
      <c r="L71" s="47"/>
    </row>
    <row r="72" spans="1:13" x14ac:dyDescent="0.25">
      <c r="A72" s="25"/>
      <c r="B72" s="1" t="s">
        <v>80</v>
      </c>
      <c r="C72" s="47" t="s">
        <v>81</v>
      </c>
      <c r="L72" s="47"/>
    </row>
    <row r="73" spans="1:13" x14ac:dyDescent="0.25">
      <c r="A73" s="25"/>
    </row>
    <row r="74" spans="1:13" x14ac:dyDescent="0.25">
      <c r="A74" s="46" t="s">
        <v>82</v>
      </c>
      <c r="B74" s="1" t="s">
        <v>83</v>
      </c>
    </row>
    <row r="76" spans="1:13" x14ac:dyDescent="0.25">
      <c r="A76" s="119" t="s">
        <v>84</v>
      </c>
    </row>
    <row r="77" spans="1:13" x14ac:dyDescent="0.25">
      <c r="B77" s="47"/>
    </row>
    <row r="78" spans="1:13" x14ac:dyDescent="0.25">
      <c r="B78" s="47"/>
    </row>
    <row r="79" spans="1:13" x14ac:dyDescent="0.25">
      <c r="B79" s="47"/>
    </row>
  </sheetData>
  <mergeCells count="40">
    <mergeCell ref="AM1:AN1"/>
    <mergeCell ref="C2:D2"/>
    <mergeCell ref="F2:G2"/>
    <mergeCell ref="I2:J2"/>
    <mergeCell ref="L2:M2"/>
    <mergeCell ref="O2:P2"/>
    <mergeCell ref="R2:S2"/>
    <mergeCell ref="U2:V2"/>
    <mergeCell ref="X2:Y2"/>
    <mergeCell ref="AA2:AB2"/>
    <mergeCell ref="AV2:AW2"/>
    <mergeCell ref="AY2:AZ2"/>
    <mergeCell ref="BB2:BC2"/>
    <mergeCell ref="B48:M48"/>
    <mergeCell ref="C58:D58"/>
    <mergeCell ref="F58:G58"/>
    <mergeCell ref="I58:J58"/>
    <mergeCell ref="L58:M58"/>
    <mergeCell ref="O58:P58"/>
    <mergeCell ref="R58:S58"/>
    <mergeCell ref="AD2:AE2"/>
    <mergeCell ref="AG2:AH2"/>
    <mergeCell ref="AJ2:AK2"/>
    <mergeCell ref="AM2:AN2"/>
    <mergeCell ref="AP2:AQ2"/>
    <mergeCell ref="AS2:AT2"/>
    <mergeCell ref="AV58:AW58"/>
    <mergeCell ref="AY58:AZ58"/>
    <mergeCell ref="BB58:BC58"/>
    <mergeCell ref="U58:V58"/>
    <mergeCell ref="X58:Y58"/>
    <mergeCell ref="AA58:AB58"/>
    <mergeCell ref="AD58:AE58"/>
    <mergeCell ref="AG58:AH58"/>
    <mergeCell ref="AJ58:AK58"/>
    <mergeCell ref="B64:B65"/>
    <mergeCell ref="C64:M65"/>
    <mergeCell ref="AM58:AN58"/>
    <mergeCell ref="AP58:AQ58"/>
    <mergeCell ref="AS58:AT58"/>
  </mergeCells>
  <pageMargins left="0.7" right="0.7" top="0.75" bottom="0.75" header="0.3" footer="0.3"/>
  <pageSetup orientation="portrait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35</vt:i4>
      </vt:variant>
    </vt:vector>
  </HeadingPairs>
  <TitlesOfParts>
    <vt:vector size="35" baseType="lpstr">
      <vt:lpstr>Front Sheet</vt:lpstr>
      <vt:lpstr>ST Standard from 4 Jun26</vt:lpstr>
      <vt:lpstr>ST Standard from 24 Feb 26</vt:lpstr>
      <vt:lpstr>ST Standard (by Age) 4 Jun 26</vt:lpstr>
      <vt:lpstr>ST Standard (by Age) 24 Feb 26</vt:lpstr>
      <vt:lpstr>ST Inc Cruise from 4 Jun26</vt:lpstr>
      <vt:lpstr>ST Inc Cruise from 24 Feb 26</vt:lpstr>
      <vt:lpstr>ST Inc Cruise from 1 Apr25</vt:lpstr>
      <vt:lpstr>Single Trip Inc Cruise re Jan25</vt:lpstr>
      <vt:lpstr>Single Trip Incl Cruise</vt:lpstr>
      <vt:lpstr>ST Standard from 1 Apr25</vt:lpstr>
      <vt:lpstr>ST (by Age) Inc Cruise 4 Jun26</vt:lpstr>
      <vt:lpstr>ST (by Age) Inc Cruise 24 Feb26</vt:lpstr>
      <vt:lpstr>ST Tables (by Age) Inc Cruise</vt:lpstr>
      <vt:lpstr>Single Trip Standard re 4Jan24</vt:lpstr>
      <vt:lpstr>Single Trip Standard re Jan25</vt:lpstr>
      <vt:lpstr>ST Rating Tables (by Age)</vt:lpstr>
      <vt:lpstr>AMT Gold Standard from 4 Jun26</vt:lpstr>
      <vt:lpstr>AMT Gold Standard from 24 Feb26</vt:lpstr>
      <vt:lpstr>AMT Standard from 1 Apr25</vt:lpstr>
      <vt:lpstr>AMT Inc Cruise re Jan25</vt:lpstr>
      <vt:lpstr>AMT Standard re Jan25</vt:lpstr>
      <vt:lpstr>AMT Gold Inc Cruise 4 Jun26</vt:lpstr>
      <vt:lpstr>AMT Gold Inc Cruise - 24 Feb26</vt:lpstr>
      <vt:lpstr>AMT Inc Cruise from 1 Apr25</vt:lpstr>
      <vt:lpstr>AMT Silver St'd from 4 Jun26</vt:lpstr>
      <vt:lpstr>AMT Silver Standard re 24Feb26</vt:lpstr>
      <vt:lpstr>AMT Silver Inc Cruise 4 Jun26</vt:lpstr>
      <vt:lpstr>AMT Silver Inc Cruise 24Feb26</vt:lpstr>
      <vt:lpstr>AMT Silver Standard re 1 Apr25</vt:lpstr>
      <vt:lpstr>AMT Silver Inc Cruise 1 Apr25+</vt:lpstr>
      <vt:lpstr>ST Price Var %</vt:lpstr>
      <vt:lpstr>AMT Inc Cruise</vt:lpstr>
      <vt:lpstr>AMT Standard</vt:lpstr>
      <vt:lpstr>Sheet1</vt:lpstr>
    </vt:vector>
  </TitlesOfParts>
  <Manager/>
  <Company>Allianz Global Assistance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Barry Smith</dc:creator>
  <cp:keywords/>
  <dc:description/>
  <cp:lastModifiedBy>Steve Alcock</cp:lastModifiedBy>
  <cp:revision/>
  <dcterms:created xsi:type="dcterms:W3CDTF">2017-10-02T09:30:25Z</dcterms:created>
  <dcterms:modified xsi:type="dcterms:W3CDTF">2026-06-02T11:20:24Z</dcterms:modified>
  <cp:category/>
  <cp:contentStatus/>
</cp:coreProperties>
</file>